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боты по договорам" sheetId="1" r:id="rId1"/>
    <sheet name="отчет(план) 2023" sheetId="2" r:id="rId2"/>
  </sheets>
  <definedNames/>
  <calcPr fullCalcOnLoad="1"/>
</workbook>
</file>

<file path=xl/sharedStrings.xml><?xml version="1.0" encoding="utf-8"?>
<sst xmlns="http://schemas.openxmlformats.org/spreadsheetml/2006/main" count="1065" uniqueCount="578">
  <si>
    <t>общая</t>
  </si>
  <si>
    <t>Карпинск, пер.Школьный, д.1</t>
  </si>
  <si>
    <t>Карпинск, прое.Декабристов, д.10</t>
  </si>
  <si>
    <t>Карпинск, прое.Нахимова, д.20</t>
  </si>
  <si>
    <t>Карпинск, прое.Нахимова, д.22</t>
  </si>
  <si>
    <t>Карпинск, прое.Нахимова, д.24</t>
  </si>
  <si>
    <t>Карпинск, прое.Нахимова, д.26</t>
  </si>
  <si>
    <t>Карпинск, прое.Нахимова, д.28</t>
  </si>
  <si>
    <t>Карпинск, ул.8 Марта, д.32</t>
  </si>
  <si>
    <t>Карпинск, ул.8 Марта, д.40</t>
  </si>
  <si>
    <t>Карпинск, ул.8 Марта, д.42</t>
  </si>
  <si>
    <t>Карпинск, ул.8 Марта, д.43</t>
  </si>
  <si>
    <t>Карпинск, ул.8 Марта, д.44</t>
  </si>
  <si>
    <t>Карпинск, ул.8 Марта, д.46</t>
  </si>
  <si>
    <t>Карпинск, ул.8 Марта, д.48</t>
  </si>
  <si>
    <t>Карпинск, ул.8 Марта, д.50</t>
  </si>
  <si>
    <t>Карпинск, ул.8 Марта, д.52</t>
  </si>
  <si>
    <t>Карпинск, ул.8 Марта, д.54</t>
  </si>
  <si>
    <t>Карпинск, ул.8 Марта, д.56</t>
  </si>
  <si>
    <t>Карпинск, ул.8 Марта, д.58</t>
  </si>
  <si>
    <t>Карпинск, ул.8 Марта, д.60</t>
  </si>
  <si>
    <t>Карпинск, ул.8 Марта, д.66</t>
  </si>
  <si>
    <t>Карпинск, ул.8 Марта, д.68</t>
  </si>
  <si>
    <t>Карпинск, ул.8 Марта, д.70</t>
  </si>
  <si>
    <t>Карпинск, ул.8 Марта, д.74</t>
  </si>
  <si>
    <t>Карпинск, ул.8 Марта, д.79</t>
  </si>
  <si>
    <t>Карпинск, ул.9 Мая, д.1</t>
  </si>
  <si>
    <t>Карпинск, ул.9 Мая, д.3</t>
  </si>
  <si>
    <t>Карпинск, ул.9 Мая, д.5</t>
  </si>
  <si>
    <t>Карпинск, ул.Белинского, д.126</t>
  </si>
  <si>
    <t>Карпинск, ул.Горняков, д.39</t>
  </si>
  <si>
    <t>Карпинск, ул.Горняков, д.40</t>
  </si>
  <si>
    <t>Карпинск, ул.Карпинского, д.11</t>
  </si>
  <si>
    <t>Карпинск, ул.Карпинского, д.13</t>
  </si>
  <si>
    <t>Карпинск, ул.Карпинского, д.15</t>
  </si>
  <si>
    <t>Карпинск, ул.Карпинского, д.17</t>
  </si>
  <si>
    <t>Карпинск, ул.Карпинского, д.18</t>
  </si>
  <si>
    <t>Карпинск, ул.Карпинского, д.19</t>
  </si>
  <si>
    <t>Карпинск, ул.Карпинского, д.20</t>
  </si>
  <si>
    <t>Карпинск, ул.Карпинского, д.20, к.а</t>
  </si>
  <si>
    <t>Карпинск, ул.Карпинского, д.24</t>
  </si>
  <si>
    <t>Карпинск, ул.Карпинского, д.26</t>
  </si>
  <si>
    <t>Карпинск, ул.Карпинского, д.28</t>
  </si>
  <si>
    <t>Карпинск, ул.Карпинского, д.30</t>
  </si>
  <si>
    <t>Карпинск, ул.Ким, д.17</t>
  </si>
  <si>
    <t>Карпинск, ул.Клубная, д.4</t>
  </si>
  <si>
    <t>Карпинск, ул.Колхозная, д.43</t>
  </si>
  <si>
    <t>Карпинск, ул.Колхозная, д.53</t>
  </si>
  <si>
    <t>Карпинск, ул.Коммунаров, д.47</t>
  </si>
  <si>
    <t>Карпинск, ул.Коммунаров, д.49</t>
  </si>
  <si>
    <t>Карпинск, ул.Коммунаров, д.5</t>
  </si>
  <si>
    <t>Карпинск, ул.Коммунаров, д.50</t>
  </si>
  <si>
    <t>Карпинск, ул.Коммунаров, д.51</t>
  </si>
  <si>
    <t>Карпинск, ул.Коммунаров, д.53, к.а</t>
  </si>
  <si>
    <t>Карпинск, ул.Куйбышева, д.32</t>
  </si>
  <si>
    <t>Карпинск, ул.Куйбышева, д.34</t>
  </si>
  <si>
    <t>Карпинск, ул.Куйбышева, д.36</t>
  </si>
  <si>
    <t>Карпинск, ул.Куйбышева, д.38</t>
  </si>
  <si>
    <t>Карпинск, ул.Куйбышева, д.40</t>
  </si>
  <si>
    <t>Карпинск, ул.Куйбышева, д.42</t>
  </si>
  <si>
    <t>Карпинск, ул.Куйбышева, д.52</t>
  </si>
  <si>
    <t>Карпинск, ул.Ленина, д.100</t>
  </si>
  <si>
    <t>Карпинск, ул.Ленина, д.100, к.а</t>
  </si>
  <si>
    <t>Карпинск, ул.Ленина, д.103</t>
  </si>
  <si>
    <t>Карпинск, ул.Ленина, д.105</t>
  </si>
  <si>
    <t>Карпинск, ул.Ленина, д.107</t>
  </si>
  <si>
    <t>Карпинск, ул.Ленина, д.109</t>
  </si>
  <si>
    <t>Карпинск, ул.Ленина, д.110</t>
  </si>
  <si>
    <t>Карпинск, ул.Ленина, д.111</t>
  </si>
  <si>
    <t>Карпинск, ул.Ленина, д.113</t>
  </si>
  <si>
    <t>Карпинск, ул.Ленина, д.114</t>
  </si>
  <si>
    <t>Карпинск, ул.Ленина, д.115</t>
  </si>
  <si>
    <t>Карпинск, ул.Ленина, д.117</t>
  </si>
  <si>
    <t>Карпинск, ул.Ленина, д.118</t>
  </si>
  <si>
    <t>Карпинск, ул.Ленина, д.119</t>
  </si>
  <si>
    <t>Карпинск, ул.Ленина, д.120</t>
  </si>
  <si>
    <t>Карпинск, ул.Ленина, д.121</t>
  </si>
  <si>
    <t>Карпинск, ул.Ленина, д.122</t>
  </si>
  <si>
    <t>Карпинск, ул.Ленина, д.123</t>
  </si>
  <si>
    <t>Карпинск, ул.Ленина, д.124</t>
  </si>
  <si>
    <t>Карпинск, ул.Ленина, д.46</t>
  </si>
  <si>
    <t>Карпинск, ул.Ленина, д.59</t>
  </si>
  <si>
    <t>Карпинск, ул.Ленина, д.76</t>
  </si>
  <si>
    <t>Карпинск, ул.Ленина, д.80</t>
  </si>
  <si>
    <t>Карпинск, ул.Ленина, д.82</t>
  </si>
  <si>
    <t>Карпинск, ул.Ленина, д.82, к.а</t>
  </si>
  <si>
    <t>Карпинск, ул.Ленина, д.84</t>
  </si>
  <si>
    <t>Карпинск, ул.Ленина, д.86</t>
  </si>
  <si>
    <t>Карпинск, ул.Ленина, д.91</t>
  </si>
  <si>
    <t>Карпинск, ул.Ленина, д.93</t>
  </si>
  <si>
    <t>Карпинск, ул.Ленина, д.95</t>
  </si>
  <si>
    <t>Карпинск, ул.Ленина, д.98</t>
  </si>
  <si>
    <t>Карпинск, ул.Ленина, д.99</t>
  </si>
  <si>
    <t>Карпинск, ул.Лермонтова, д.10</t>
  </si>
  <si>
    <t>Карпинск, ул.Лермонтова, д.11</t>
  </si>
  <si>
    <t>Карпинск, ул.Лермонтова, д.12</t>
  </si>
  <si>
    <t>Карпинск, ул.Лермонтова, д.13, к.а</t>
  </si>
  <si>
    <t>Карпинск, ул.Лермонтова, д.14</t>
  </si>
  <si>
    <t>Карпинск, ул.Лермонтова, д.17</t>
  </si>
  <si>
    <t>Карпинск, ул.Лермонтова, д.3</t>
  </si>
  <si>
    <t>Карпинск, ул.Лермонтова, д.5</t>
  </si>
  <si>
    <t>Карпинск, ул.Лермонтова, д.7</t>
  </si>
  <si>
    <t>Карпинск, ул.Лермонтова, д.9</t>
  </si>
  <si>
    <t>Карпинск, ул.Лесопильная, д.12</t>
  </si>
  <si>
    <t>Карпинск, ул.Лесопильная, д.137</t>
  </si>
  <si>
    <t>Карпинск, ул.Лесопильная, д.139</t>
  </si>
  <si>
    <t>Карпинск, ул.Лесопильная, д.18</t>
  </si>
  <si>
    <t>Карпинск, ул.Лесопильная, д.44</t>
  </si>
  <si>
    <t>Карпинск, ул.Лесопильная, д.61</t>
  </si>
  <si>
    <t>Карпинск, ул.Лесопильная, д.63</t>
  </si>
  <si>
    <t>Карпинск, ул.Лесопильная, д.67</t>
  </si>
  <si>
    <t>Карпинск, ул.Лесопильная, д.69</t>
  </si>
  <si>
    <t>Карпинск, ул.Лесопильная, д.71</t>
  </si>
  <si>
    <t>Карпинск, ул.Луначарского, д.112</t>
  </si>
  <si>
    <t>Карпинск, ул.Луначарского, д.114</t>
  </si>
  <si>
    <t>Карпинск, ул.Луначарского, д.123</t>
  </si>
  <si>
    <t>Карпинск, ул.Луначарского, д.124</t>
  </si>
  <si>
    <t>Карпинск, ул.Луначарского, д.126</t>
  </si>
  <si>
    <t>Карпинск, ул.Луначарского, д.128</t>
  </si>
  <si>
    <t>Карпинск, ул.Луначарского, д.128, к.а</t>
  </si>
  <si>
    <t>Карпинск, ул.Луначарского, д.130</t>
  </si>
  <si>
    <t>Карпинск, ул.Луначарского, д.32</t>
  </si>
  <si>
    <t>Карпинск, ул.Луначарского, д.34</t>
  </si>
  <si>
    <t>Карпинск, ул.Луначарского, д.58</t>
  </si>
  <si>
    <t>Карпинск, ул.Луначарского, д.59</t>
  </si>
  <si>
    <t>Карпинск, ул.Луначарского, д.60</t>
  </si>
  <si>
    <t>Карпинск, ул.Луначарского, д.61</t>
  </si>
  <si>
    <t>Карпинск, ул.Луначарского, д.63</t>
  </si>
  <si>
    <t>Карпинск, ул.Луначарского, д.65</t>
  </si>
  <si>
    <t>Карпинск, ул.Луначарского, д.65, к.а</t>
  </si>
  <si>
    <t>Карпинск, ул.Луначарского, д.70</t>
  </si>
  <si>
    <t>Карпинск, ул.Луначарского, д.72</t>
  </si>
  <si>
    <t>Карпинск, ул.Луначарского, д.74</t>
  </si>
  <si>
    <t>Карпинск, ул.Луначарского, д.74, к.а</t>
  </si>
  <si>
    <t>Карпинск, ул.Луначарского, д.77</t>
  </si>
  <si>
    <t>Карпинск, ул.Луначарского, д.78</t>
  </si>
  <si>
    <t>Карпинск, ул.Луначарского, д.78, к.а</t>
  </si>
  <si>
    <t>Карпинск, ул.Луначарского, д.79</t>
  </si>
  <si>
    <t>Карпинск, ул.Луначарского, д.79, к.а</t>
  </si>
  <si>
    <t>Карпинск, ул.Луначарского, д.82</t>
  </si>
  <si>
    <t>Карпинск, ул.Луначарского, д.83</t>
  </si>
  <si>
    <t>Карпинск, ул.Луначарского, д.86</t>
  </si>
  <si>
    <t>Карпинск, ул.Луначарского, д.90, к.а</t>
  </si>
  <si>
    <t>Карпинск, ул.Луначарского, д.92</t>
  </si>
  <si>
    <t>Карпинск, ул.Луначарского, д.94</t>
  </si>
  <si>
    <t>Карпинск, ул.Максима Горького, д.12</t>
  </si>
  <si>
    <t>Карпинск, ул.Максима Горького, д.13</t>
  </si>
  <si>
    <t>Карпинск, ул.Максима Горького, д.2</t>
  </si>
  <si>
    <t>Карпинск, ул.Максима Горького, д.2, к.а</t>
  </si>
  <si>
    <t>Карпинск, ул.Максима Горького, д.29</t>
  </si>
  <si>
    <t>Карпинск, ул.Максима Горького, д.4</t>
  </si>
  <si>
    <t>Карпинск, ул.Максима Горького, д.4, к.а</t>
  </si>
  <si>
    <t>Карпинск, ул.Максима Горького, д.6</t>
  </si>
  <si>
    <t>Карпинск, ул.Максима Горького, д.6, к.а</t>
  </si>
  <si>
    <t>Карпинск, ул.Максима Горького, д.8</t>
  </si>
  <si>
    <t>Карпинск, ул.Малышева, д.16</t>
  </si>
  <si>
    <t>Карпинск, ул.Малышева, д.18</t>
  </si>
  <si>
    <t>Карпинск, ул.Малышева, д.2, к.б</t>
  </si>
  <si>
    <t>Карпинск, ул.Малышева, д.20</t>
  </si>
  <si>
    <t>Карпинск, ул.Малышева, д.45</t>
  </si>
  <si>
    <t>Карпинск, ул.Малышева, д.47</t>
  </si>
  <si>
    <t>Карпинск, ул.Малышева, д.49</t>
  </si>
  <si>
    <t>Карпинск, ул.Мира, д.14</t>
  </si>
  <si>
    <t>Карпинск, ул.Мира, д.36</t>
  </si>
  <si>
    <t>Карпинск, ул.Мира, д.36, к.а</t>
  </si>
  <si>
    <t>Карпинск, ул.Мира, д.38</t>
  </si>
  <si>
    <t>Карпинск, ул.Мира, д.38, к.а</t>
  </si>
  <si>
    <t>Карпинск, ул.Мира, д.4</t>
  </si>
  <si>
    <t>Карпинск, ул.Мира, д.40</t>
  </si>
  <si>
    <t>Карпинск, ул.Мира, д.42</t>
  </si>
  <si>
    <t>Карпинск, ул.Мира, д.45</t>
  </si>
  <si>
    <t>Карпинск, ул.Мира, д.45, к.а</t>
  </si>
  <si>
    <t>Карпинск, ул.Мира, д.48</t>
  </si>
  <si>
    <t>Карпинск, ул.Мира, д.49</t>
  </si>
  <si>
    <t>Карпинск, ул.Мира, д.50</t>
  </si>
  <si>
    <t>Карпинск, ул.Мира, д.50, к.а</t>
  </si>
  <si>
    <t>Карпинск, ул.Мира, д.51</t>
  </si>
  <si>
    <t>Карпинск, ул.Мира, д.52</t>
  </si>
  <si>
    <t>Карпинск, ул.Мира, д.53</t>
  </si>
  <si>
    <t>Карпинск, ул.Мира, д.54</t>
  </si>
  <si>
    <t>Карпинск, ул.Мира, д.54, к.а</t>
  </si>
  <si>
    <t>Карпинск, ул.Мира, д.56</t>
  </si>
  <si>
    <t>Карпинск, ул.Мира, д.57</t>
  </si>
  <si>
    <t>Карпинск, ул.Мира, д.59</t>
  </si>
  <si>
    <t>Карпинск, ул.Мира, д.6</t>
  </si>
  <si>
    <t>Карпинск, ул.Мира, д.62</t>
  </si>
  <si>
    <t>Карпинск, ул.Мира, д.64</t>
  </si>
  <si>
    <t>Карпинск, ул.Мира, д.65</t>
  </si>
  <si>
    <t>Карпинск, ул.Мира, д.65, к.а</t>
  </si>
  <si>
    <t>Карпинск, ул.Мира, д.66</t>
  </si>
  <si>
    <t>Карпинск, ул.Мира, д.67</t>
  </si>
  <si>
    <t>Карпинск, ул.Мира, д.68</t>
  </si>
  <si>
    <t>Карпинск, ул.Мира, д.70</t>
  </si>
  <si>
    <t>Карпинск, ул.Мира, д.72</t>
  </si>
  <si>
    <t>Карпинск, ул.Мира, д.74</t>
  </si>
  <si>
    <t>Карпинск, ул.Мира, д.76</t>
  </si>
  <si>
    <t>Карпинск, ул.Мира, д.8</t>
  </si>
  <si>
    <t>Карпинск, ул.Мира, д.80</t>
  </si>
  <si>
    <t>Карпинск, ул.Мира, д.81</t>
  </si>
  <si>
    <t>Карпинск, ул.Мира, д.83</t>
  </si>
  <si>
    <t>Карпинск, ул.Мира, д.84</t>
  </si>
  <si>
    <t>Карпинск, ул.Мира, д.85</t>
  </si>
  <si>
    <t>Карпинск, ул.Мира, д.87</t>
  </si>
  <si>
    <t>Карпинск, ул.Мира, д.89</t>
  </si>
  <si>
    <t>Карпинск, ул.Мира, д.93</t>
  </si>
  <si>
    <t>Карпинск, ул.Мира, д.97</t>
  </si>
  <si>
    <t>Карпинск, ул.Некрасова, д.41</t>
  </si>
  <si>
    <t>Карпинск, ул.Некрасова, д.81</t>
  </si>
  <si>
    <t>Карпинск, ул.Некрасова, д.83</t>
  </si>
  <si>
    <t>Карпинск, ул.Некрасова, д.85</t>
  </si>
  <si>
    <t>Карпинск, ул.Первомайская, д.42</t>
  </si>
  <si>
    <t>Карпинск, ул.Первомайская, д.61</t>
  </si>
  <si>
    <t>Карпинск, ул.Попова, д.4</t>
  </si>
  <si>
    <t>Карпинск, ул.Попова, д.6</t>
  </si>
  <si>
    <t>Карпинск, ул.Попова, д.6, к.а</t>
  </si>
  <si>
    <t>Карпинск, ул.Попова, д.8</t>
  </si>
  <si>
    <t>Карпинск, ул.Почтамтская, д.23</t>
  </si>
  <si>
    <t>Карпинск, ул.Почтамтская, д.25</t>
  </si>
  <si>
    <t>Карпинск, ул.Почтамтская, д.31</t>
  </si>
  <si>
    <t>Карпинск, ул.Почтамтская, д.33</t>
  </si>
  <si>
    <t>Карпинск, ул.Пролетарская, д.66</t>
  </si>
  <si>
    <t>Карпинск, ул.Пролетарская, д.71</t>
  </si>
  <si>
    <t>Карпинск, ул.Пушкина, д.7</t>
  </si>
  <si>
    <t>Карпинск, ул.Свердлова, д.1</t>
  </si>
  <si>
    <t>Карпинск, ул.Свердлова, д.3</t>
  </si>
  <si>
    <t>Карпинск, ул.Свердлова, д.4</t>
  </si>
  <si>
    <t>Карпинск, ул.Свердлова, д.6</t>
  </si>
  <si>
    <t>Карпинск, ул.Свердлова, д.6, к.а</t>
  </si>
  <si>
    <t>Карпинск, ул.Свердлова, д.7</t>
  </si>
  <si>
    <t>Карпинск, ул.Свердлова, д.8</t>
  </si>
  <si>
    <t>Карпинск, ул.Свободы, д.104</t>
  </si>
  <si>
    <t>Карпинск, ул.Свободы, д.139</t>
  </si>
  <si>
    <t>Карпинск, ул.Свободы, д.141</t>
  </si>
  <si>
    <t>Карпинск, ул.Свободы, д.40</t>
  </si>
  <si>
    <t>Карпинск, ул.Серова, д.13</t>
  </si>
  <si>
    <t>Карпинск, ул.Серова, д.15</t>
  </si>
  <si>
    <t>Карпинск, ул.Серова, д.17</t>
  </si>
  <si>
    <t>Карпинск, ул.Серова, д.19</t>
  </si>
  <si>
    <t>Карпинск, ул.Серова, д.23</t>
  </si>
  <si>
    <t>Карпинск, ул.Советская, д.115</t>
  </si>
  <si>
    <t>Карпинск, ул.Советская, д.117</t>
  </si>
  <si>
    <t>Карпинск, ул.Советская, д.119</t>
  </si>
  <si>
    <t>Карпинск, ул.Советская, д.121</t>
  </si>
  <si>
    <t>Карпинск, ул.Советская, д.123</t>
  </si>
  <si>
    <t>Карпинск, ул.Советская, д.125</t>
  </si>
  <si>
    <t>Карпинск, ул.Советская, д.127</t>
  </si>
  <si>
    <t>Карпинск, ул.Советская, д.96</t>
  </si>
  <si>
    <t>Карпинск, ул.Трудовая, д.40</t>
  </si>
  <si>
    <t>Карпинск, ул.Угольщиков, д.75</t>
  </si>
  <si>
    <t>Карпинск, ул.Угольщиков, д.79</t>
  </si>
  <si>
    <t>Карпинск, ул.Угольщиков, д.81</t>
  </si>
  <si>
    <t>Карпинск, ул.Уральская, д.40</t>
  </si>
  <si>
    <t>Карпинск, ул.Федорова, д.1</t>
  </si>
  <si>
    <t>Карпинск, ул.Федорова, д.3</t>
  </si>
  <si>
    <t>Карпинск, ул.Чайковского, д.147</t>
  </si>
  <si>
    <t>Карпинск, ул.Чайковского, д.44, к.а</t>
  </si>
  <si>
    <t>Карпинск, ул.Чайковского, д.46</t>
  </si>
  <si>
    <t>Карпинск, ул.Чайковского, д.48-3,4</t>
  </si>
  <si>
    <t>Карпинск, ул.Челюскинцев, д.40</t>
  </si>
  <si>
    <t>Карпинск, ул.Чернышевского, д.40</t>
  </si>
  <si>
    <t>Карпинск, пер.Школьный, д.4</t>
  </si>
  <si>
    <t>Карпинск, ул.Лесопильная, д.65</t>
  </si>
  <si>
    <t>Карпинск, ул.Луначарского, д.91</t>
  </si>
  <si>
    <t>№</t>
  </si>
  <si>
    <t>п/п</t>
  </si>
  <si>
    <t>тариф</t>
  </si>
  <si>
    <t>Железнодорожный,  д.9</t>
  </si>
  <si>
    <t>жилые</t>
  </si>
  <si>
    <t>нежилые</t>
  </si>
  <si>
    <t>адрес</t>
  </si>
  <si>
    <t>итого: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</si>
  <si>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</si>
  <si>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</si>
  <si>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</si>
  <si>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</si>
  <si>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</si>
  <si>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</si>
  <si>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</si>
  <si>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</si>
  <si>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</si>
  <si>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Карпинск, ул.Мира, д.30</t>
  </si>
  <si>
    <t>Карпинск, ул.Советская, д.113/2</t>
  </si>
  <si>
    <t>Карпинск, ул.Советская, д.113/3</t>
  </si>
  <si>
    <t>ЖЭУ</t>
  </si>
  <si>
    <t>ЖКО</t>
  </si>
  <si>
    <t>Карпинск, ул.Максима Горького, д.14а</t>
  </si>
  <si>
    <t>Карпинск, ул.Советская, д.113/1</t>
  </si>
  <si>
    <t>Годовой план</t>
  </si>
  <si>
    <t>с корректир.</t>
  </si>
  <si>
    <t>долга</t>
  </si>
  <si>
    <t>январь</t>
  </si>
  <si>
    <t>февраль</t>
  </si>
  <si>
    <t>апрель</t>
  </si>
  <si>
    <t>ЖЭУ(год)</t>
  </si>
  <si>
    <t>ЖКО(год)</t>
  </si>
  <si>
    <t>за год</t>
  </si>
  <si>
    <t>огр. двор.</t>
  </si>
  <si>
    <t>Карпинск, ул.Ленина, д.88а</t>
  </si>
  <si>
    <t>Карпинск, ул.Почтамтская, д.4</t>
  </si>
  <si>
    <t>искл.дворн.</t>
  </si>
  <si>
    <t>% долга</t>
  </si>
  <si>
    <t>план/месяц</t>
  </si>
  <si>
    <t>План на 1 полугодие</t>
  </si>
  <si>
    <t>План на 2 полугодие</t>
  </si>
  <si>
    <t>Своими силами</t>
  </si>
  <si>
    <t>ограничение работ</t>
  </si>
  <si>
    <t>без управления, ЖБО,ОПУ, газ, вентканалы,влаж. уборка</t>
  </si>
  <si>
    <t xml:space="preserve">План на </t>
  </si>
  <si>
    <t>поверку ОПУ</t>
  </si>
  <si>
    <t>долга, поверкой ОПУ</t>
  </si>
  <si>
    <t>Карпинск, ул.Мира, д.47</t>
  </si>
  <si>
    <t>площадь</t>
  </si>
  <si>
    <t>выполнено ВСЕГО</t>
  </si>
  <si>
    <t>огр. двор.по заявл.</t>
  </si>
  <si>
    <t>Карпинск, ул.8 Марта, д.36</t>
  </si>
  <si>
    <t>№п/п</t>
  </si>
  <si>
    <t>Адрес</t>
  </si>
  <si>
    <t>ОПУ</t>
  </si>
  <si>
    <t>газ</t>
  </si>
  <si>
    <t>остаток</t>
  </si>
  <si>
    <t>клининг(доп.работы)</t>
  </si>
  <si>
    <t>годовой в мес.</t>
  </si>
  <si>
    <t>(-)</t>
  </si>
  <si>
    <t>Карпинск, ул.Лесопильная, д.59</t>
  </si>
  <si>
    <t xml:space="preserve">ЖЭУ(мес) </t>
  </si>
  <si>
    <t xml:space="preserve">ЖКО(мес) </t>
  </si>
  <si>
    <t>дворника</t>
  </si>
  <si>
    <t>дополнительное</t>
  </si>
  <si>
    <t xml:space="preserve">согласование </t>
  </si>
  <si>
    <t>работ</t>
  </si>
  <si>
    <t>Выполнено ЖКО+ЖЭУ</t>
  </si>
  <si>
    <t>годовой</t>
  </si>
  <si>
    <r>
      <t xml:space="preserve">Карпинск, ул.Ленина, д.101 </t>
    </r>
    <r>
      <rPr>
        <sz val="8"/>
        <color indexed="10"/>
        <rFont val="Arial"/>
        <family val="2"/>
      </rPr>
      <t>с 01.02.2022 изм т.</t>
    </r>
  </si>
  <si>
    <t>выполнено</t>
  </si>
  <si>
    <t>выполнено за 2023год</t>
  </si>
  <si>
    <r>
      <t>Карпинск, ул.Луначарского, д.76</t>
    </r>
    <r>
      <rPr>
        <sz val="8"/>
        <rFont val="Arial"/>
        <family val="0"/>
      </rPr>
      <t xml:space="preserve"> </t>
    </r>
  </si>
  <si>
    <t>долг 2022</t>
  </si>
  <si>
    <t>1 полугодие 2023год</t>
  </si>
  <si>
    <t>2 полугодие 2023год</t>
  </si>
  <si>
    <t>ПЛАН (ОТЧЕТ)2023год</t>
  </si>
  <si>
    <t>Корректировка за содержание газовых сетей по тарифу за 2023гг</t>
  </si>
  <si>
    <t>год</t>
  </si>
  <si>
    <t>вентканалы</t>
  </si>
  <si>
    <t xml:space="preserve">тариф </t>
  </si>
  <si>
    <t>управление</t>
  </si>
  <si>
    <t xml:space="preserve">клининг  </t>
  </si>
  <si>
    <t>ЖБО</t>
  </si>
  <si>
    <t>упр клининг газ</t>
  </si>
  <si>
    <t>вентканалы ОПУ</t>
  </si>
  <si>
    <t>Всего год</t>
  </si>
  <si>
    <t>без управления,ЖБО,ОПУ,газ,вентканалы,клининг</t>
  </si>
  <si>
    <t>по договорам</t>
  </si>
  <si>
    <t>только по согласов.</t>
  </si>
  <si>
    <t>план(в долг)</t>
  </si>
  <si>
    <t>долг от годового плана</t>
  </si>
  <si>
    <t>const</t>
  </si>
  <si>
    <t>согласовано</t>
  </si>
  <si>
    <t>Карпинск, ул.Лермонтова, д.8 с 01.04. вкл. Двор,м/у</t>
  </si>
  <si>
    <t>Корректировка по ОДН (электроэнергия 2022)</t>
  </si>
  <si>
    <t>Карпинск, ул.Серова, д.65 вкл. с 17.05.2023</t>
  </si>
  <si>
    <t>Карпинск, ул.Лермонтова, д.1 с 01.10.К.35</t>
  </si>
  <si>
    <r>
      <t>Возврат за клининг (с 01.12.22-31.03.2023)</t>
    </r>
    <r>
      <rPr>
        <b/>
        <sz val="10"/>
        <color indexed="48"/>
        <rFont val="Arial"/>
        <family val="2"/>
      </rPr>
      <t>июль-ноябрь (не в полном объеме)</t>
    </r>
  </si>
  <si>
    <t>Неосвоенные ср-ва за обсл. ОПУ</t>
  </si>
  <si>
    <t>на 01.01.2024</t>
  </si>
  <si>
    <t>Выполнение работ по отдельным договорам в счет содержания жилья 2023год</t>
  </si>
  <si>
    <t>№ п/п</t>
  </si>
  <si>
    <t>Наименование работ</t>
  </si>
  <si>
    <t xml:space="preserve">Сумма, руб </t>
  </si>
  <si>
    <t>Дата</t>
  </si>
  <si>
    <t>8 марта, 36</t>
  </si>
  <si>
    <t>дополн. уборка МОП</t>
  </si>
  <si>
    <t>8 марта, 43</t>
  </si>
  <si>
    <t>тех/обследование на к/р</t>
  </si>
  <si>
    <t>8 марта, 50</t>
  </si>
  <si>
    <t>отключение ХВС</t>
  </si>
  <si>
    <t>8 марта, 66</t>
  </si>
  <si>
    <t>8 марта, 68</t>
  </si>
  <si>
    <t>8 марта,32</t>
  </si>
  <si>
    <t>демонтаж потолка</t>
  </si>
  <si>
    <t>9 мая, 3</t>
  </si>
  <si>
    <t>БТИ(смена тарифа эл.энергии)</t>
  </si>
  <si>
    <t>Горняков, 39</t>
  </si>
  <si>
    <t>Горняков, 40</t>
  </si>
  <si>
    <t>Декабристов, 10(2 под.)</t>
  </si>
  <si>
    <t>замена дверных блоков в тамбуре</t>
  </si>
  <si>
    <t>Карпинского, 17</t>
  </si>
  <si>
    <t>поверка ОПУ</t>
  </si>
  <si>
    <t>Карпинского, 18</t>
  </si>
  <si>
    <t>Карпинского, 19</t>
  </si>
  <si>
    <t>Карпинского, 30</t>
  </si>
  <si>
    <t>ремонт отмостки</t>
  </si>
  <si>
    <t>асфальтирование придомовой территории</t>
  </si>
  <si>
    <t xml:space="preserve">Колхозная, 53 </t>
  </si>
  <si>
    <t>Коммунаров, 49</t>
  </si>
  <si>
    <t>Куйбышева, 32</t>
  </si>
  <si>
    <t>Куйбышева, 36 (3 под)</t>
  </si>
  <si>
    <t>Куйбышева, 52</t>
  </si>
  <si>
    <t>Ленина, 107</t>
  </si>
  <si>
    <t>техприсоединение к газу</t>
  </si>
  <si>
    <t>04.12..2020</t>
  </si>
  <si>
    <t>Ленина, 109</t>
  </si>
  <si>
    <t>Ленина, 110</t>
  </si>
  <si>
    <t>техническая диагностика ВДГО</t>
  </si>
  <si>
    <t>Ленина, 111</t>
  </si>
  <si>
    <t>16.09..2022</t>
  </si>
  <si>
    <t>Ленина, 113</t>
  </si>
  <si>
    <t>Ленина, 114</t>
  </si>
  <si>
    <t>Ленина, 118</t>
  </si>
  <si>
    <t>Ленина, 119</t>
  </si>
  <si>
    <t>Ленина, 46</t>
  </si>
  <si>
    <t>Ленина, 59</t>
  </si>
  <si>
    <t>нет док.</t>
  </si>
  <si>
    <t>Ленина, 82</t>
  </si>
  <si>
    <t>ремонт фасада</t>
  </si>
  <si>
    <t>Ленина, 98</t>
  </si>
  <si>
    <t xml:space="preserve">Лермонтова, 1 </t>
  </si>
  <si>
    <t>Лермонтова, 11</t>
  </si>
  <si>
    <t>БТИ( изменение в паспорте газификация)</t>
  </si>
  <si>
    <t>Лермонтова, 14</t>
  </si>
  <si>
    <t>Лермонтова, 17</t>
  </si>
  <si>
    <t>Лермонтова, 3</t>
  </si>
  <si>
    <t>Лермонтова, 5</t>
  </si>
  <si>
    <t>Лермонтова, 7</t>
  </si>
  <si>
    <t>Лермонтова, 9</t>
  </si>
  <si>
    <t>Лесопильная, 137</t>
  </si>
  <si>
    <t>Лесопильная, 44</t>
  </si>
  <si>
    <t>Лесопильная, 59</t>
  </si>
  <si>
    <t>Лесопильная, 69</t>
  </si>
  <si>
    <t>Лесопильная, 69 (2,8 под.)</t>
  </si>
  <si>
    <t>замена оконных блоков</t>
  </si>
  <si>
    <t>Лесопильная, 69 (3 под.)</t>
  </si>
  <si>
    <t>Лесопильная, 69 (4 под.)</t>
  </si>
  <si>
    <t>Лесопильная, 69 (5 под.)</t>
  </si>
  <si>
    <t>Лесопильная, 69 (7 под.)</t>
  </si>
  <si>
    <t>Лесопильная, 71 (2 под.)</t>
  </si>
  <si>
    <t>Лесопильтная, 69(кв. 70)</t>
  </si>
  <si>
    <t>замена инжегнерных сетей в квартире</t>
  </si>
  <si>
    <t>Луначаоского, 128 (4 под.)</t>
  </si>
  <si>
    <t>Луначарского, 112</t>
  </si>
  <si>
    <t>Луначарского, 114 (2 под.)</t>
  </si>
  <si>
    <t>Луначарского, 114 (5 под.)</t>
  </si>
  <si>
    <t>Луначарского, 114 (3 под)</t>
  </si>
  <si>
    <t>Луначарского, 124</t>
  </si>
  <si>
    <t>Луначарского, 126</t>
  </si>
  <si>
    <t>Луначарского, 128 (1 под)</t>
  </si>
  <si>
    <t>Луначарского, 128 (2 под)</t>
  </si>
  <si>
    <t>Луначарского, 128 (4,5 под.)</t>
  </si>
  <si>
    <t>Луначарского, 128 (8 под.)</t>
  </si>
  <si>
    <t>Луначарского, 130</t>
  </si>
  <si>
    <t>Луначарского, 32</t>
  </si>
  <si>
    <t>Луначарского, 63</t>
  </si>
  <si>
    <t>отогрев системы канализации</t>
  </si>
  <si>
    <t>Луначарского, 65а</t>
  </si>
  <si>
    <t>Луначарского, 70</t>
  </si>
  <si>
    <t>Луначарского, 76</t>
  </si>
  <si>
    <t xml:space="preserve">ремонт придомовой территории </t>
  </si>
  <si>
    <t>Луначарского, 77</t>
  </si>
  <si>
    <t>Луначарского, 79а</t>
  </si>
  <si>
    <t>Проверка вентканалов при газификации</t>
  </si>
  <si>
    <t>Луначарского, 80</t>
  </si>
  <si>
    <t xml:space="preserve">Луначарского, 83 </t>
  </si>
  <si>
    <t>отогрев  ХВС</t>
  </si>
  <si>
    <t>Луначарского, 83</t>
  </si>
  <si>
    <t>М.Горького, 13</t>
  </si>
  <si>
    <t>М.Горького, 13 "Мои цветы"</t>
  </si>
  <si>
    <t>Демонтаж и монтаж конструкции</t>
  </si>
  <si>
    <t>М.Горького, 13 (7 под)</t>
  </si>
  <si>
    <t>М.Горького, 13(11 под.)</t>
  </si>
  <si>
    <t>М.Горького, 13(13 под.)</t>
  </si>
  <si>
    <t>М.Горького, 13(12 под.)</t>
  </si>
  <si>
    <t>М.Горького, 2</t>
  </si>
  <si>
    <t>М.Горького, 2а</t>
  </si>
  <si>
    <t>М.Горького, 4</t>
  </si>
  <si>
    <t>М.Горького, 6</t>
  </si>
  <si>
    <t>М.Горького, 6а</t>
  </si>
  <si>
    <t>Малышева, 45 (1 под.)</t>
  </si>
  <si>
    <t>Малышева, 49</t>
  </si>
  <si>
    <t>Малышева, 49 (1,2 под.)</t>
  </si>
  <si>
    <t>Мира, 30</t>
  </si>
  <si>
    <t>Мира, 38а (1,2,3 кв.)</t>
  </si>
  <si>
    <t>Мира, 4</t>
  </si>
  <si>
    <t>Мира, 4 (6 под.)</t>
  </si>
  <si>
    <t>Мира, 4 (7 под.)</t>
  </si>
  <si>
    <t>Мира, 4 (1 под.)</t>
  </si>
  <si>
    <t>Мира, 42 (2 под)</t>
  </si>
  <si>
    <t>Мира, 45</t>
  </si>
  <si>
    <t>Мира, 45 (8 под)</t>
  </si>
  <si>
    <t>Мира, 45 (2 под.)</t>
  </si>
  <si>
    <t>Мира, 45 (3 под.)</t>
  </si>
  <si>
    <t>Мира, 45 кв.69,70</t>
  </si>
  <si>
    <t>ремонт кровли</t>
  </si>
  <si>
    <t>Мира, 47</t>
  </si>
  <si>
    <t>замена дверных блоков (2 этаж)</t>
  </si>
  <si>
    <t>замена дверных блоков (входная)</t>
  </si>
  <si>
    <t>Мира, 48</t>
  </si>
  <si>
    <t>Мира, 54</t>
  </si>
  <si>
    <t>Мира, 54 (1,2,3,4 под)</t>
  </si>
  <si>
    <t>Мира, 6</t>
  </si>
  <si>
    <t>Мира, 62 (5 под.)</t>
  </si>
  <si>
    <t>Мира, 62 (1-4 под.)</t>
  </si>
  <si>
    <t>ремонт крылец</t>
  </si>
  <si>
    <t>Мира, 62 (1-4 под.)доп. раб.</t>
  </si>
  <si>
    <t>Мира, 65 (3 этажи)</t>
  </si>
  <si>
    <t>Мира, 67 (4 под)</t>
  </si>
  <si>
    <t>Мира, 68</t>
  </si>
  <si>
    <t>Мира, 74</t>
  </si>
  <si>
    <t>Мира, 74 (3,4 под)</t>
  </si>
  <si>
    <t>Мира, 74 (1,2 под)</t>
  </si>
  <si>
    <t>Мира, 74 (1 под.)</t>
  </si>
  <si>
    <t>Мира, 74 (2 под.)</t>
  </si>
  <si>
    <t>Мира, 74 (5 под.)</t>
  </si>
  <si>
    <t>Мира, 74 (6 под.)</t>
  </si>
  <si>
    <t xml:space="preserve">Мира, 76 </t>
  </si>
  <si>
    <t>ремонт входов в подвалы</t>
  </si>
  <si>
    <t>Мира, 76 (доп.работы)</t>
  </si>
  <si>
    <t>Мира, 8 (6 под)</t>
  </si>
  <si>
    <t>Мира, 8</t>
  </si>
  <si>
    <t>Мира, 80</t>
  </si>
  <si>
    <t>Мира, 81</t>
  </si>
  <si>
    <t xml:space="preserve">Мира, 84  </t>
  </si>
  <si>
    <t>Мира, 84</t>
  </si>
  <si>
    <t>Мира, 84 (2 под)</t>
  </si>
  <si>
    <t>Мира, 85 (2 под)</t>
  </si>
  <si>
    <t>Мира, 87</t>
  </si>
  <si>
    <t>Мира, 97</t>
  </si>
  <si>
    <t>ремонт придомовой территории (водоотвод)</t>
  </si>
  <si>
    <t>Нахимова, 22</t>
  </si>
  <si>
    <t>Нахимова, 22 (2 под)</t>
  </si>
  <si>
    <t>Нахимова, 22 (3 под)</t>
  </si>
  <si>
    <t>Нахимова, 24 (2-3 под.)</t>
  </si>
  <si>
    <t>Нахимова, 26</t>
  </si>
  <si>
    <t>Нахимова, 28</t>
  </si>
  <si>
    <t>обследование подключений эл/снабжения</t>
  </si>
  <si>
    <t>Некрасова, 41</t>
  </si>
  <si>
    <t>Некрасова, 81(1-6 под.)</t>
  </si>
  <si>
    <t>Некрасова, 83</t>
  </si>
  <si>
    <t>Некрасова, 85(1-4 под. ,1,4 этаж)</t>
  </si>
  <si>
    <t>Первомайская, 42</t>
  </si>
  <si>
    <t>Первомайская, 61(1-8 под)2эт</t>
  </si>
  <si>
    <t>Первомайская, 61(2,4,6) (2)</t>
  </si>
  <si>
    <t>ремонт крылец, отмостки</t>
  </si>
  <si>
    <t>Первомайская, 61  (5 под)</t>
  </si>
  <si>
    <t>Попова, 6</t>
  </si>
  <si>
    <t>Попова, 12а</t>
  </si>
  <si>
    <t>копия технического паспорта</t>
  </si>
  <si>
    <t>Почтамтская, 33</t>
  </si>
  <si>
    <t>Пролетарская, 66 (4 под.)</t>
  </si>
  <si>
    <t>Пролетарская, 71</t>
  </si>
  <si>
    <t>Свердлова, 6а</t>
  </si>
  <si>
    <t>Свердлова, 8</t>
  </si>
  <si>
    <t>Свободы, 104</t>
  </si>
  <si>
    <t>Свободы, 141(2 под.)</t>
  </si>
  <si>
    <t>Свободы, 40</t>
  </si>
  <si>
    <t>Серова, 13 (6 под.)</t>
  </si>
  <si>
    <t>Серова, 19</t>
  </si>
  <si>
    <t>Серова, 65</t>
  </si>
  <si>
    <t>размещение информации на ГИС ЖКХ</t>
  </si>
  <si>
    <t>акт разграничения электросетей</t>
  </si>
  <si>
    <t>Советская, 96</t>
  </si>
  <si>
    <t>Советская, 113/2</t>
  </si>
  <si>
    <t>Советская, 119</t>
  </si>
  <si>
    <t>Советская, 121</t>
  </si>
  <si>
    <t>Советская, 123</t>
  </si>
  <si>
    <t>Советская, 125</t>
  </si>
  <si>
    <t>Советская, 127</t>
  </si>
  <si>
    <t>Уральская, 40</t>
  </si>
  <si>
    <t>Федорова, 1</t>
  </si>
  <si>
    <t>Федорова, 3</t>
  </si>
  <si>
    <t>Чайковского, 147</t>
  </si>
  <si>
    <t>Челюскинцев, 40</t>
  </si>
  <si>
    <t>Школьный, 1</t>
  </si>
  <si>
    <t>ремонт вентканала</t>
  </si>
  <si>
    <t>ВСЕГО за 2023г.</t>
  </si>
  <si>
    <t>по с/ж и т/р</t>
  </si>
  <si>
    <t xml:space="preserve">долг  </t>
  </si>
  <si>
    <t>план</t>
  </si>
  <si>
    <t>оплата</t>
  </si>
  <si>
    <t xml:space="preserve"> за с/ж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</si>
</sst>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%"/>
    <numFmt numFmtId="181" formatCode="0.0000%"/>
    <numFmt numFmtId="182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i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0"/>
    </font>
    <font>
      <b/>
      <i/>
      <sz val="11"/>
      <name val="Arial"/>
      <family val="0"/>
    </font>
    <font>
      <sz val="11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0"/>
    </font>
    <font>
      <b/>
      <i/>
      <sz val="14"/>
      <color indexed="16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i/>
      <sz val="12"/>
      <name val="Arial"/>
      <family val="2"/>
    </font>
    <font>
      <b/>
      <sz val="8"/>
      <name val="Arial"/>
      <family val="0"/>
    </font>
    <font>
      <sz val="10"/>
      <name val="Arial Cyr"/>
      <family val="0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2" fontId="26" fillId="18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2" fontId="2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2" fontId="30" fillId="0" borderId="12" xfId="0" applyNumberFormat="1" applyFont="1" applyBorder="1" applyAlignment="1">
      <alignment/>
    </xf>
    <xf numFmtId="2" fontId="26" fillId="16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172" fontId="0" fillId="0" borderId="0" xfId="0" applyNumberFormat="1" applyFill="1" applyAlignment="1">
      <alignment/>
    </xf>
    <xf numFmtId="2" fontId="0" fillId="0" borderId="11" xfId="0" applyNumberFormat="1" applyFill="1" applyBorder="1" applyAlignment="1">
      <alignment/>
    </xf>
    <xf numFmtId="2" fontId="26" fillId="18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2" fontId="30" fillId="0" borderId="12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27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25" fillId="18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18" borderId="0" xfId="0" applyFont="1" applyFill="1" applyBorder="1" applyAlignment="1">
      <alignment horizontal="center"/>
    </xf>
    <xf numFmtId="2" fontId="26" fillId="18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2" fontId="26" fillId="17" borderId="10" xfId="0" applyNumberFormat="1" applyFont="1" applyFill="1" applyBorder="1" applyAlignment="1">
      <alignment horizontal="center"/>
    </xf>
    <xf numFmtId="2" fontId="38" fillId="17" borderId="2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8" borderId="10" xfId="0" applyFill="1" applyBorder="1" applyAlignment="1">
      <alignment/>
    </xf>
    <xf numFmtId="2" fontId="2" fillId="8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/>
    </xf>
    <xf numFmtId="2" fontId="1" fillId="8" borderId="1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6" fillId="17" borderId="22" xfId="0" applyNumberFormat="1" applyFont="1" applyFill="1" applyBorder="1" applyAlignment="1">
      <alignment horizontal="center"/>
    </xf>
    <xf numFmtId="0" fontId="24" fillId="8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8" borderId="0" xfId="0" applyFill="1" applyBorder="1" applyAlignment="1">
      <alignment/>
    </xf>
    <xf numFmtId="0" fontId="1" fillId="8" borderId="29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8" borderId="30" xfId="0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24" fillId="8" borderId="30" xfId="0" applyNumberFormat="1" applyFont="1" applyFill="1" applyBorder="1" applyAlignment="1">
      <alignment/>
    </xf>
    <xf numFmtId="2" fontId="26" fillId="0" borderId="31" xfId="0" applyNumberFormat="1" applyFont="1" applyFill="1" applyBorder="1" applyAlignment="1">
      <alignment horizontal="center"/>
    </xf>
    <xf numFmtId="2" fontId="26" fillId="17" borderId="32" xfId="0" applyNumberFormat="1" applyFont="1" applyFill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2" fontId="26" fillId="0" borderId="33" xfId="0" applyNumberFormat="1" applyFont="1" applyFill="1" applyBorder="1" applyAlignment="1">
      <alignment horizontal="center"/>
    </xf>
    <xf numFmtId="2" fontId="21" fillId="17" borderId="34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/>
    </xf>
    <xf numFmtId="0" fontId="0" fillId="0" borderId="36" xfId="0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37" xfId="0" applyFill="1" applyBorder="1" applyAlignment="1">
      <alignment/>
    </xf>
    <xf numFmtId="0" fontId="1" fillId="16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1" fillId="18" borderId="14" xfId="0" applyFont="1" applyFill="1" applyBorder="1" applyAlignment="1">
      <alignment horizontal="center"/>
    </xf>
    <xf numFmtId="0" fontId="24" fillId="18" borderId="22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0" fontId="24" fillId="18" borderId="11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 wrapText="1"/>
    </xf>
    <xf numFmtId="0" fontId="1" fillId="18" borderId="15" xfId="0" applyFont="1" applyFill="1" applyBorder="1" applyAlignment="1">
      <alignment horizontal="center" wrapText="1"/>
    </xf>
    <xf numFmtId="0" fontId="1" fillId="18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6" fillId="0" borderId="2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9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34" fillId="20" borderId="10" xfId="0" applyFont="1" applyFill="1" applyBorder="1" applyAlignment="1">
      <alignment/>
    </xf>
    <xf numFmtId="2" fontId="40" fillId="18" borderId="10" xfId="54" applyNumberFormat="1" applyFill="1" applyBorder="1">
      <alignment/>
      <protection/>
    </xf>
    <xf numFmtId="2" fontId="40" fillId="18" borderId="10" xfId="53" applyNumberFormat="1" applyFill="1" applyBorder="1">
      <alignment/>
      <protection/>
    </xf>
    <xf numFmtId="2" fontId="0" fillId="18" borderId="10" xfId="0" applyNumberFormat="1" applyFill="1" applyBorder="1" applyAlignment="1">
      <alignment/>
    </xf>
    <xf numFmtId="9" fontId="24" fillId="0" borderId="0" xfId="0" applyNumberFormat="1" applyFont="1" applyFill="1" applyAlignment="1">
      <alignment horizontal="center"/>
    </xf>
    <xf numFmtId="9" fontId="24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2" fontId="3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2" fontId="34" fillId="0" borderId="14" xfId="0" applyNumberFormat="1" applyFont="1" applyFill="1" applyBorder="1" applyAlignment="1">
      <alignment wrapText="1"/>
    </xf>
    <xf numFmtId="2" fontId="34" fillId="0" borderId="14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2" fontId="30" fillId="19" borderId="10" xfId="0" applyNumberFormat="1" applyFont="1" applyFill="1" applyBorder="1" applyAlignment="1">
      <alignment/>
    </xf>
    <xf numFmtId="2" fontId="0" fillId="19" borderId="10" xfId="0" applyNumberFormat="1" applyFill="1" applyBorder="1" applyAlignment="1">
      <alignment/>
    </xf>
    <xf numFmtId="2" fontId="34" fillId="0" borderId="14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2" fontId="43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2" fontId="26" fillId="18" borderId="22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24" fillId="8" borderId="40" xfId="0" applyFont="1" applyFill="1" applyBorder="1" applyAlignment="1">
      <alignment horizontal="center"/>
    </xf>
    <xf numFmtId="0" fontId="24" fillId="8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0" fillId="18" borderId="13" xfId="0" applyFont="1" applyFill="1" applyBorder="1" applyAlignment="1">
      <alignment wrapText="1"/>
    </xf>
    <xf numFmtId="0" fontId="0" fillId="18" borderId="11" xfId="0" applyFont="1" applyFill="1" applyBorder="1" applyAlignment="1">
      <alignment wrapText="1"/>
    </xf>
    <xf numFmtId="0" fontId="24" fillId="8" borderId="4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workbookViewId="0" topLeftCell="A1">
      <selection activeCell="C208" sqref="C208"/>
    </sheetView>
  </sheetViews>
  <sheetFormatPr defaultColWidth="9.140625" defaultRowHeight="12.75"/>
  <cols>
    <col min="2" max="2" width="31.421875" style="0" customWidth="1"/>
    <col min="3" max="3" width="49.7109375" style="0" customWidth="1"/>
    <col min="4" max="4" width="17.28125" style="0" customWidth="1"/>
    <col min="5" max="5" width="17.57421875" style="0" customWidth="1"/>
    <col min="7" max="7" width="22.00390625" style="0" customWidth="1"/>
  </cols>
  <sheetData>
    <row r="1" spans="1:9" ht="18">
      <c r="A1" s="237" t="s">
        <v>364</v>
      </c>
      <c r="B1" s="237"/>
      <c r="C1" s="237"/>
      <c r="D1" s="237"/>
      <c r="E1" s="237"/>
      <c r="F1" s="237"/>
      <c r="G1" s="237"/>
      <c r="H1" s="13"/>
      <c r="I1" s="6"/>
    </row>
    <row r="2" spans="1:9" ht="18">
      <c r="A2" s="206"/>
      <c r="B2" s="206"/>
      <c r="C2" s="206"/>
      <c r="D2" s="207"/>
      <c r="E2" s="206"/>
      <c r="F2" s="208"/>
      <c r="G2" s="206"/>
      <c r="H2" s="13"/>
      <c r="I2" s="6"/>
    </row>
    <row r="3" spans="1:9" ht="18">
      <c r="A3" s="206"/>
      <c r="B3" s="206"/>
      <c r="C3" s="206"/>
      <c r="D3" s="207"/>
      <c r="E3" s="206"/>
      <c r="F3" s="208"/>
      <c r="G3" s="206"/>
      <c r="H3" s="13"/>
      <c r="I3" s="6"/>
    </row>
    <row r="4" spans="1:10" s="6" customFormat="1" ht="42.75" customHeight="1">
      <c r="A4" s="217" t="s">
        <v>365</v>
      </c>
      <c r="B4" s="217" t="s">
        <v>316</v>
      </c>
      <c r="C4" s="217" t="s">
        <v>366</v>
      </c>
      <c r="D4" s="218" t="s">
        <v>367</v>
      </c>
      <c r="E4" s="217" t="s">
        <v>368</v>
      </c>
      <c r="F4" s="214"/>
      <c r="G4" s="3"/>
      <c r="H4" s="215"/>
      <c r="I4" s="3"/>
      <c r="J4" s="3"/>
    </row>
    <row r="5" spans="1:10" s="6" customFormat="1" ht="12.75">
      <c r="A5" s="1">
        <v>1</v>
      </c>
      <c r="B5" s="1" t="s">
        <v>369</v>
      </c>
      <c r="C5" s="1" t="s">
        <v>370</v>
      </c>
      <c r="D5" s="64">
        <v>4000</v>
      </c>
      <c r="E5" s="209">
        <v>45046</v>
      </c>
      <c r="F5" s="214"/>
      <c r="G5" s="3"/>
      <c r="H5" s="23"/>
      <c r="I5" s="3"/>
      <c r="J5" s="3"/>
    </row>
    <row r="6" spans="1:10" s="6" customFormat="1" ht="12.75">
      <c r="A6" s="1">
        <v>2</v>
      </c>
      <c r="B6" s="1" t="s">
        <v>371</v>
      </c>
      <c r="C6" s="1" t="s">
        <v>372</v>
      </c>
      <c r="D6" s="64">
        <v>17836.6</v>
      </c>
      <c r="E6" s="209">
        <v>45118</v>
      </c>
      <c r="F6" s="214"/>
      <c r="G6" s="3"/>
      <c r="H6" s="23"/>
      <c r="I6" s="3"/>
      <c r="J6" s="3"/>
    </row>
    <row r="7" spans="1:10" s="6" customFormat="1" ht="12.75">
      <c r="A7" s="1">
        <v>3</v>
      </c>
      <c r="B7" s="1" t="s">
        <v>373</v>
      </c>
      <c r="C7" s="1" t="s">
        <v>374</v>
      </c>
      <c r="D7" s="64">
        <v>2579.64</v>
      </c>
      <c r="E7" s="209">
        <v>45013</v>
      </c>
      <c r="F7" s="214"/>
      <c r="G7" s="3"/>
      <c r="H7" s="23"/>
      <c r="I7" s="3"/>
      <c r="J7" s="3"/>
    </row>
    <row r="8" spans="1:10" s="6" customFormat="1" ht="12.75">
      <c r="A8" s="1">
        <v>4</v>
      </c>
      <c r="B8" s="1" t="s">
        <v>375</v>
      </c>
      <c r="C8" s="1" t="s">
        <v>372</v>
      </c>
      <c r="D8" s="64">
        <v>18349.2</v>
      </c>
      <c r="E8" s="209">
        <v>45118</v>
      </c>
      <c r="F8" s="214"/>
      <c r="G8" s="3"/>
      <c r="H8" s="23"/>
      <c r="I8" s="3"/>
      <c r="J8" s="3"/>
    </row>
    <row r="9" spans="1:10" s="6" customFormat="1" ht="12.75">
      <c r="A9" s="1">
        <v>5</v>
      </c>
      <c r="B9" s="1" t="s">
        <v>376</v>
      </c>
      <c r="C9" s="1" t="s">
        <v>372</v>
      </c>
      <c r="D9" s="64">
        <v>18321.4</v>
      </c>
      <c r="E9" s="209">
        <v>45118</v>
      </c>
      <c r="F9" s="214"/>
      <c r="G9" s="3"/>
      <c r="H9" s="23"/>
      <c r="I9" s="3"/>
      <c r="J9" s="3"/>
    </row>
    <row r="10" spans="1:10" s="6" customFormat="1" ht="12.75">
      <c r="A10" s="1">
        <v>6</v>
      </c>
      <c r="B10" s="1" t="s">
        <v>377</v>
      </c>
      <c r="C10" s="1" t="s">
        <v>372</v>
      </c>
      <c r="D10" s="64">
        <v>39298.16</v>
      </c>
      <c r="E10" s="209">
        <v>45153</v>
      </c>
      <c r="F10" s="214"/>
      <c r="G10" s="3"/>
      <c r="H10" s="23"/>
      <c r="I10" s="3"/>
      <c r="J10" s="3"/>
    </row>
    <row r="11" spans="1:10" s="6" customFormat="1" ht="12.75">
      <c r="A11" s="1">
        <v>7</v>
      </c>
      <c r="B11" s="1" t="s">
        <v>377</v>
      </c>
      <c r="C11" s="1" t="s">
        <v>378</v>
      </c>
      <c r="D11" s="64">
        <v>3000</v>
      </c>
      <c r="E11" s="209">
        <v>45153</v>
      </c>
      <c r="F11" s="214"/>
      <c r="G11" s="3"/>
      <c r="H11" s="23"/>
      <c r="I11" s="3"/>
      <c r="J11" s="3"/>
    </row>
    <row r="12" spans="1:10" s="6" customFormat="1" ht="12.75">
      <c r="A12" s="1">
        <v>8</v>
      </c>
      <c r="B12" s="1" t="s">
        <v>379</v>
      </c>
      <c r="C12" s="1" t="s">
        <v>380</v>
      </c>
      <c r="D12" s="64">
        <v>3437</v>
      </c>
      <c r="E12" s="209">
        <v>44985</v>
      </c>
      <c r="F12" s="214"/>
      <c r="G12" s="3"/>
      <c r="H12" s="23"/>
      <c r="I12" s="3"/>
      <c r="J12" s="3"/>
    </row>
    <row r="13" spans="1:10" s="6" customFormat="1" ht="12.75">
      <c r="A13" s="1">
        <v>9</v>
      </c>
      <c r="B13" s="1" t="s">
        <v>381</v>
      </c>
      <c r="C13" s="1" t="s">
        <v>372</v>
      </c>
      <c r="D13" s="64">
        <v>4116</v>
      </c>
      <c r="E13" s="209">
        <v>45118</v>
      </c>
      <c r="F13" s="214"/>
      <c r="G13" s="3"/>
      <c r="H13" s="23"/>
      <c r="I13" s="3"/>
      <c r="J13" s="3"/>
    </row>
    <row r="14" spans="1:10" s="6" customFormat="1" ht="12.75">
      <c r="A14" s="1">
        <v>10</v>
      </c>
      <c r="B14" s="1" t="s">
        <v>382</v>
      </c>
      <c r="C14" s="1" t="s">
        <v>372</v>
      </c>
      <c r="D14" s="64">
        <v>2137.6</v>
      </c>
      <c r="E14" s="209">
        <v>45118</v>
      </c>
      <c r="F14" s="214"/>
      <c r="G14" s="3"/>
      <c r="H14" s="23"/>
      <c r="I14" s="3"/>
      <c r="J14" s="3"/>
    </row>
    <row r="15" spans="1:10" s="6" customFormat="1" ht="12.75">
      <c r="A15" s="1">
        <v>11</v>
      </c>
      <c r="B15" s="1" t="s">
        <v>383</v>
      </c>
      <c r="C15" s="1" t="s">
        <v>384</v>
      </c>
      <c r="D15" s="64">
        <v>38500</v>
      </c>
      <c r="E15" s="209">
        <v>45253</v>
      </c>
      <c r="F15" s="214"/>
      <c r="G15" s="3"/>
      <c r="H15" s="23"/>
      <c r="I15" s="3"/>
      <c r="J15" s="3"/>
    </row>
    <row r="16" spans="1:10" s="6" customFormat="1" ht="12.75">
      <c r="A16" s="1">
        <v>12</v>
      </c>
      <c r="B16" s="1" t="s">
        <v>385</v>
      </c>
      <c r="C16" s="1" t="s">
        <v>386</v>
      </c>
      <c r="D16" s="64">
        <v>70122.98</v>
      </c>
      <c r="E16" s="209">
        <v>45198</v>
      </c>
      <c r="F16" s="214"/>
      <c r="G16" s="3"/>
      <c r="H16" s="23"/>
      <c r="I16" s="3"/>
      <c r="J16" s="3"/>
    </row>
    <row r="17" spans="1:10" s="6" customFormat="1" ht="12.75">
      <c r="A17" s="1">
        <v>13</v>
      </c>
      <c r="B17" s="1" t="s">
        <v>387</v>
      </c>
      <c r="C17" s="1" t="s">
        <v>384</v>
      </c>
      <c r="D17" s="64">
        <v>29500</v>
      </c>
      <c r="E17" s="209">
        <v>45002</v>
      </c>
      <c r="F17" s="214"/>
      <c r="G17" s="3"/>
      <c r="H17" s="23"/>
      <c r="I17" s="3"/>
      <c r="J17" s="3"/>
    </row>
    <row r="18" spans="1:10" s="6" customFormat="1" ht="12.75">
      <c r="A18" s="1">
        <v>14</v>
      </c>
      <c r="B18" s="1" t="s">
        <v>388</v>
      </c>
      <c r="C18" s="1" t="s">
        <v>384</v>
      </c>
      <c r="D18" s="64">
        <v>186000</v>
      </c>
      <c r="E18" s="209">
        <v>44986</v>
      </c>
      <c r="F18" s="214"/>
      <c r="G18" s="3"/>
      <c r="H18" s="23"/>
      <c r="I18" s="3"/>
      <c r="J18" s="3"/>
    </row>
    <row r="19" spans="1:10" s="6" customFormat="1" ht="12.75">
      <c r="A19" s="1">
        <v>15</v>
      </c>
      <c r="B19" s="1" t="s">
        <v>389</v>
      </c>
      <c r="C19" s="1" t="s">
        <v>390</v>
      </c>
      <c r="D19" s="64">
        <v>151758.03</v>
      </c>
      <c r="E19" s="209">
        <v>45099</v>
      </c>
      <c r="F19" s="214"/>
      <c r="G19" s="3"/>
      <c r="H19" s="23"/>
      <c r="I19" s="3"/>
      <c r="J19" s="3"/>
    </row>
    <row r="20" spans="1:10" s="6" customFormat="1" ht="12.75">
      <c r="A20" s="1">
        <v>16</v>
      </c>
      <c r="B20" s="1" t="s">
        <v>389</v>
      </c>
      <c r="C20" s="1" t="s">
        <v>391</v>
      </c>
      <c r="D20" s="64">
        <v>191749</v>
      </c>
      <c r="E20" s="209">
        <v>45100</v>
      </c>
      <c r="F20" s="214"/>
      <c r="G20" s="3"/>
      <c r="H20" s="23"/>
      <c r="I20" s="3"/>
      <c r="J20" s="3"/>
    </row>
    <row r="21" spans="1:10" s="6" customFormat="1" ht="12.75">
      <c r="A21" s="1">
        <v>17</v>
      </c>
      <c r="B21" s="1" t="s">
        <v>389</v>
      </c>
      <c r="C21" s="1" t="s">
        <v>386</v>
      </c>
      <c r="D21" s="64">
        <v>73224.34</v>
      </c>
      <c r="E21" s="209">
        <v>45198</v>
      </c>
      <c r="F21" s="214"/>
      <c r="G21" s="3"/>
      <c r="H21" s="23"/>
      <c r="I21" s="3"/>
      <c r="J21" s="3"/>
    </row>
    <row r="22" spans="1:10" s="6" customFormat="1" ht="12.75">
      <c r="A22" s="1">
        <v>18</v>
      </c>
      <c r="B22" s="1" t="s">
        <v>392</v>
      </c>
      <c r="C22" s="1" t="s">
        <v>391</v>
      </c>
      <c r="D22" s="64">
        <f>223650.83+112356.24</f>
        <v>336007.07</v>
      </c>
      <c r="E22" s="209">
        <v>45100</v>
      </c>
      <c r="F22" s="214"/>
      <c r="G22" s="3"/>
      <c r="H22" s="23"/>
      <c r="I22" s="3"/>
      <c r="J22" s="3"/>
    </row>
    <row r="23" spans="1:10" s="6" customFormat="1" ht="12.75">
      <c r="A23" s="1">
        <v>19</v>
      </c>
      <c r="B23" s="1" t="s">
        <v>393</v>
      </c>
      <c r="C23" s="1" t="s">
        <v>374</v>
      </c>
      <c r="D23" s="64">
        <v>2189.64</v>
      </c>
      <c r="E23" s="209">
        <v>45096</v>
      </c>
      <c r="F23" s="214"/>
      <c r="G23" s="3"/>
      <c r="H23" s="23"/>
      <c r="I23" s="3"/>
      <c r="J23" s="3"/>
    </row>
    <row r="24" spans="1:10" s="6" customFormat="1" ht="12.75">
      <c r="A24" s="1">
        <v>20</v>
      </c>
      <c r="B24" s="1" t="s">
        <v>394</v>
      </c>
      <c r="C24" s="1" t="s">
        <v>384</v>
      </c>
      <c r="D24" s="64">
        <v>272162.4</v>
      </c>
      <c r="E24" s="209">
        <v>44974</v>
      </c>
      <c r="F24" s="214"/>
      <c r="G24" s="3"/>
      <c r="H24" s="23"/>
      <c r="I24" s="3"/>
      <c r="J24" s="3"/>
    </row>
    <row r="25" spans="1:10" s="6" customFormat="1" ht="12.75">
      <c r="A25" s="1">
        <v>21</v>
      </c>
      <c r="B25" s="1" t="s">
        <v>394</v>
      </c>
      <c r="C25" s="1" t="s">
        <v>386</v>
      </c>
      <c r="D25" s="64">
        <f>14654.91+44787.25+14431.29</f>
        <v>73873.45000000001</v>
      </c>
      <c r="E25" s="209">
        <v>45198</v>
      </c>
      <c r="F25" s="214"/>
      <c r="G25" s="3"/>
      <c r="H25" s="23"/>
      <c r="I25" s="3"/>
      <c r="J25" s="3"/>
    </row>
    <row r="26" spans="1:10" s="6" customFormat="1" ht="12.75">
      <c r="A26" s="1">
        <v>22</v>
      </c>
      <c r="B26" s="1" t="s">
        <v>395</v>
      </c>
      <c r="C26" s="1" t="s">
        <v>384</v>
      </c>
      <c r="D26" s="64">
        <v>48720</v>
      </c>
      <c r="E26" s="209">
        <v>45243</v>
      </c>
      <c r="F26" s="214"/>
      <c r="G26" s="3"/>
      <c r="H26" s="23"/>
      <c r="I26" s="3"/>
      <c r="J26" s="3"/>
    </row>
    <row r="27" spans="1:10" s="6" customFormat="1" ht="12.75">
      <c r="A27" s="1">
        <v>23</v>
      </c>
      <c r="B27" s="1" t="s">
        <v>396</v>
      </c>
      <c r="C27" s="1" t="s">
        <v>372</v>
      </c>
      <c r="D27" s="64">
        <v>16078.21</v>
      </c>
      <c r="E27" s="209">
        <v>45153</v>
      </c>
      <c r="F27" s="214"/>
      <c r="G27" s="3"/>
      <c r="H27" s="23"/>
      <c r="I27" s="3"/>
      <c r="J27" s="3"/>
    </row>
    <row r="28" spans="1:10" s="6" customFormat="1" ht="12.75">
      <c r="A28" s="1">
        <v>24</v>
      </c>
      <c r="B28" s="1" t="s">
        <v>396</v>
      </c>
      <c r="C28" s="1" t="s">
        <v>386</v>
      </c>
      <c r="D28" s="64">
        <v>73873.45</v>
      </c>
      <c r="E28" s="209">
        <v>45198</v>
      </c>
      <c r="F28" s="214"/>
      <c r="G28" s="3"/>
      <c r="H28" s="23"/>
      <c r="I28" s="3"/>
      <c r="J28" s="3"/>
    </row>
    <row r="29" spans="1:10" s="6" customFormat="1" ht="12.75">
      <c r="A29" s="1">
        <v>25</v>
      </c>
      <c r="B29" s="1" t="s">
        <v>397</v>
      </c>
      <c r="C29" s="1" t="s">
        <v>398</v>
      </c>
      <c r="D29" s="64">
        <v>18617.11</v>
      </c>
      <c r="E29" s="210" t="s">
        <v>399</v>
      </c>
      <c r="F29" s="214"/>
      <c r="G29" s="3"/>
      <c r="H29" s="23"/>
      <c r="I29" s="3"/>
      <c r="J29" s="3"/>
    </row>
    <row r="30" spans="1:10" s="6" customFormat="1" ht="12.75">
      <c r="A30" s="1">
        <v>26</v>
      </c>
      <c r="B30" s="1" t="s">
        <v>400</v>
      </c>
      <c r="C30" s="1" t="s">
        <v>380</v>
      </c>
      <c r="D30" s="64">
        <v>3489</v>
      </c>
      <c r="E30" s="209">
        <v>44972</v>
      </c>
      <c r="F30" s="214"/>
      <c r="G30" s="3"/>
      <c r="H30" s="23"/>
      <c r="I30" s="3"/>
      <c r="J30" s="3"/>
    </row>
    <row r="31" spans="1:10" s="6" customFormat="1" ht="12.75">
      <c r="A31" s="1">
        <v>27</v>
      </c>
      <c r="B31" s="1" t="s">
        <v>400</v>
      </c>
      <c r="C31" s="1" t="s">
        <v>398</v>
      </c>
      <c r="D31" s="64">
        <v>18617.11</v>
      </c>
      <c r="E31" s="210" t="s">
        <v>399</v>
      </c>
      <c r="F31" s="214"/>
      <c r="G31" s="3"/>
      <c r="H31" s="23"/>
      <c r="I31" s="3"/>
      <c r="J31" s="3"/>
    </row>
    <row r="32" spans="1:10" s="6" customFormat="1" ht="12.75">
      <c r="A32" s="1">
        <v>28</v>
      </c>
      <c r="B32" s="1" t="s">
        <v>401</v>
      </c>
      <c r="C32" s="1" t="s">
        <v>402</v>
      </c>
      <c r="D32" s="64">
        <v>27000</v>
      </c>
      <c r="E32" s="210">
        <v>44966</v>
      </c>
      <c r="F32" s="214"/>
      <c r="G32" s="3"/>
      <c r="H32" s="23"/>
      <c r="I32" s="3"/>
      <c r="J32" s="3"/>
    </row>
    <row r="33" spans="1:10" s="6" customFormat="1" ht="12.75">
      <c r="A33" s="1">
        <v>29</v>
      </c>
      <c r="B33" s="1" t="s">
        <v>403</v>
      </c>
      <c r="C33" s="1" t="s">
        <v>398</v>
      </c>
      <c r="D33" s="64">
        <v>18617.11</v>
      </c>
      <c r="E33" s="210" t="s">
        <v>404</v>
      </c>
      <c r="F33" s="214"/>
      <c r="G33" s="3"/>
      <c r="H33" s="23"/>
      <c r="I33" s="3"/>
      <c r="J33" s="3"/>
    </row>
    <row r="34" spans="1:10" s="6" customFormat="1" ht="12.75">
      <c r="A34" s="1">
        <v>30</v>
      </c>
      <c r="B34" s="1" t="s">
        <v>405</v>
      </c>
      <c r="C34" s="1" t="s">
        <v>398</v>
      </c>
      <c r="D34" s="64">
        <f>1014.91+11867.74</f>
        <v>12882.65</v>
      </c>
      <c r="E34" s="210">
        <v>44466</v>
      </c>
      <c r="F34" s="214"/>
      <c r="G34" s="3"/>
      <c r="H34" s="23"/>
      <c r="I34" s="3"/>
      <c r="J34" s="3"/>
    </row>
    <row r="35" spans="1:10" s="6" customFormat="1" ht="12.75">
      <c r="A35" s="1">
        <v>31</v>
      </c>
      <c r="B35" s="1" t="s">
        <v>406</v>
      </c>
      <c r="C35" s="1" t="s">
        <v>386</v>
      </c>
      <c r="D35" s="64">
        <v>137829.46</v>
      </c>
      <c r="E35" s="210">
        <v>45278</v>
      </c>
      <c r="F35" s="214"/>
      <c r="G35" s="3"/>
      <c r="H35" s="23"/>
      <c r="I35" s="3"/>
      <c r="J35" s="3"/>
    </row>
    <row r="36" spans="1:10" s="6" customFormat="1" ht="12.75">
      <c r="A36" s="1">
        <v>32</v>
      </c>
      <c r="B36" s="1" t="s">
        <v>407</v>
      </c>
      <c r="C36" s="1" t="s">
        <v>374</v>
      </c>
      <c r="D36" s="64">
        <v>2579.64</v>
      </c>
      <c r="E36" s="210">
        <v>45015</v>
      </c>
      <c r="F36" s="214"/>
      <c r="G36" s="3"/>
      <c r="H36" s="23"/>
      <c r="I36" s="3"/>
      <c r="J36" s="3"/>
    </row>
    <row r="37" spans="1:10" s="6" customFormat="1" ht="12.75">
      <c r="A37" s="1">
        <v>33</v>
      </c>
      <c r="B37" s="1" t="s">
        <v>408</v>
      </c>
      <c r="C37" s="1" t="s">
        <v>398</v>
      </c>
      <c r="D37" s="64">
        <f>1014.91+11867.74</f>
        <v>12882.65</v>
      </c>
      <c r="E37" s="210">
        <v>44497</v>
      </c>
      <c r="F37" s="214"/>
      <c r="G37" s="3"/>
      <c r="H37" s="23"/>
      <c r="I37" s="3"/>
      <c r="J37" s="3"/>
    </row>
    <row r="38" spans="1:10" s="6" customFormat="1" ht="12.75">
      <c r="A38" s="1">
        <v>34</v>
      </c>
      <c r="B38" s="1" t="s">
        <v>409</v>
      </c>
      <c r="C38" s="1" t="s">
        <v>374</v>
      </c>
      <c r="D38" s="1">
        <v>2579.64</v>
      </c>
      <c r="E38" s="209">
        <v>45013</v>
      </c>
      <c r="F38" s="214"/>
      <c r="G38" s="3"/>
      <c r="H38" s="23"/>
      <c r="I38" s="3"/>
      <c r="J38" s="3"/>
    </row>
    <row r="39" spans="1:10" s="6" customFormat="1" ht="12.75">
      <c r="A39" s="1">
        <v>35</v>
      </c>
      <c r="B39" s="1" t="s">
        <v>410</v>
      </c>
      <c r="C39" s="1" t="s">
        <v>398</v>
      </c>
      <c r="D39" s="1">
        <v>17660.51</v>
      </c>
      <c r="E39" s="213" t="s">
        <v>411</v>
      </c>
      <c r="F39" s="214"/>
      <c r="G39" s="3"/>
      <c r="H39" s="23"/>
      <c r="I39" s="3"/>
      <c r="J39" s="3"/>
    </row>
    <row r="40" spans="1:10" s="6" customFormat="1" ht="12.75">
      <c r="A40" s="1">
        <v>36</v>
      </c>
      <c r="B40" s="1" t="s">
        <v>412</v>
      </c>
      <c r="C40" s="1" t="s">
        <v>413</v>
      </c>
      <c r="D40" s="1">
        <v>206443.01</v>
      </c>
      <c r="E40" s="211">
        <v>45124</v>
      </c>
      <c r="F40" s="216"/>
      <c r="G40" s="3"/>
      <c r="H40" s="23"/>
      <c r="I40" s="3"/>
      <c r="J40" s="3"/>
    </row>
    <row r="41" spans="1:10" s="6" customFormat="1" ht="12.75">
      <c r="A41" s="1">
        <v>37</v>
      </c>
      <c r="B41" s="1" t="s">
        <v>414</v>
      </c>
      <c r="C41" s="1" t="s">
        <v>398</v>
      </c>
      <c r="D41" s="64">
        <f>5136.52+7746.13</f>
        <v>12882.650000000001</v>
      </c>
      <c r="E41" s="210">
        <v>44454</v>
      </c>
      <c r="F41" s="214"/>
      <c r="G41" s="3"/>
      <c r="H41" s="23"/>
      <c r="I41" s="3"/>
      <c r="J41" s="3"/>
    </row>
    <row r="42" spans="1:10" s="6" customFormat="1" ht="12.75">
      <c r="A42" s="1">
        <v>38</v>
      </c>
      <c r="B42" s="1" t="s">
        <v>415</v>
      </c>
      <c r="C42" s="1" t="s">
        <v>380</v>
      </c>
      <c r="D42" s="64">
        <v>3476</v>
      </c>
      <c r="E42" s="209">
        <v>44988</v>
      </c>
      <c r="F42" s="214"/>
      <c r="G42" s="3"/>
      <c r="H42" s="23"/>
      <c r="I42" s="3"/>
      <c r="J42" s="3"/>
    </row>
    <row r="43" spans="1:10" s="6" customFormat="1" ht="12.75">
      <c r="A43" s="1">
        <v>39</v>
      </c>
      <c r="B43" s="1" t="s">
        <v>416</v>
      </c>
      <c r="C43" s="1" t="s">
        <v>417</v>
      </c>
      <c r="D43" s="64">
        <v>2503.4</v>
      </c>
      <c r="E43" s="209">
        <v>44946</v>
      </c>
      <c r="F43" s="214"/>
      <c r="G43" s="3"/>
      <c r="H43" s="23"/>
      <c r="I43" s="3"/>
      <c r="J43" s="3"/>
    </row>
    <row r="44" spans="1:10" s="6" customFormat="1" ht="12.75">
      <c r="A44" s="1">
        <v>40</v>
      </c>
      <c r="B44" s="1" t="s">
        <v>418</v>
      </c>
      <c r="C44" s="1" t="s">
        <v>374</v>
      </c>
      <c r="D44" s="64">
        <v>2189.64</v>
      </c>
      <c r="E44" s="209">
        <v>45138</v>
      </c>
      <c r="F44" s="214"/>
      <c r="G44" s="3"/>
      <c r="H44" s="23"/>
      <c r="I44" s="3"/>
      <c r="J44" s="3"/>
    </row>
    <row r="45" spans="1:10" s="6" customFormat="1" ht="12.75">
      <c r="A45" s="1">
        <v>41</v>
      </c>
      <c r="B45" s="1" t="s">
        <v>418</v>
      </c>
      <c r="C45" s="1" t="s">
        <v>374</v>
      </c>
      <c r="D45" s="64">
        <v>2579.64</v>
      </c>
      <c r="E45" s="209">
        <v>45254</v>
      </c>
      <c r="F45" s="214"/>
      <c r="G45" s="3"/>
      <c r="H45" s="23"/>
      <c r="I45" s="3"/>
      <c r="J45" s="3"/>
    </row>
    <row r="46" spans="1:10" s="6" customFormat="1" ht="12.75">
      <c r="A46" s="1">
        <v>42</v>
      </c>
      <c r="B46" s="1" t="s">
        <v>419</v>
      </c>
      <c r="C46" s="1" t="s">
        <v>372</v>
      </c>
      <c r="D46" s="64">
        <v>39937.41</v>
      </c>
      <c r="E46" s="209">
        <v>45153</v>
      </c>
      <c r="F46" s="214"/>
      <c r="G46" s="3"/>
      <c r="H46" s="23"/>
      <c r="I46" s="3"/>
      <c r="J46" s="3"/>
    </row>
    <row r="47" spans="1:10" s="6" customFormat="1" ht="12.75">
      <c r="A47" s="1">
        <v>43</v>
      </c>
      <c r="B47" s="1" t="s">
        <v>419</v>
      </c>
      <c r="C47" s="1" t="s">
        <v>386</v>
      </c>
      <c r="D47" s="64">
        <v>73224.34</v>
      </c>
      <c r="E47" s="209">
        <v>45198</v>
      </c>
      <c r="F47" s="214"/>
      <c r="G47" s="3"/>
      <c r="H47" s="23"/>
      <c r="I47" s="3"/>
      <c r="J47" s="3"/>
    </row>
    <row r="48" spans="1:10" s="6" customFormat="1" ht="12.75">
      <c r="A48" s="1">
        <v>44</v>
      </c>
      <c r="B48" s="1" t="s">
        <v>420</v>
      </c>
      <c r="C48" s="1" t="s">
        <v>398</v>
      </c>
      <c r="D48" s="64">
        <v>15421.96</v>
      </c>
      <c r="E48" s="209">
        <v>45068</v>
      </c>
      <c r="F48" s="214"/>
      <c r="G48" s="3"/>
      <c r="H48" s="23"/>
      <c r="I48" s="3"/>
      <c r="J48" s="3"/>
    </row>
    <row r="49" spans="1:10" s="6" customFormat="1" ht="12.75">
      <c r="A49" s="1">
        <v>45</v>
      </c>
      <c r="B49" s="1" t="s">
        <v>421</v>
      </c>
      <c r="C49" s="1" t="s">
        <v>398</v>
      </c>
      <c r="D49" s="64">
        <v>15421.96</v>
      </c>
      <c r="E49" s="209">
        <v>45201</v>
      </c>
      <c r="F49" s="214"/>
      <c r="G49" s="3"/>
      <c r="H49" s="23"/>
      <c r="I49" s="3"/>
      <c r="J49" s="3"/>
    </row>
    <row r="50" spans="1:10" s="6" customFormat="1" ht="12.75">
      <c r="A50" s="1">
        <v>46</v>
      </c>
      <c r="B50" s="1" t="s">
        <v>422</v>
      </c>
      <c r="C50" s="1" t="s">
        <v>380</v>
      </c>
      <c r="D50" s="64">
        <v>3489</v>
      </c>
      <c r="E50" s="209">
        <v>44994</v>
      </c>
      <c r="F50" s="214"/>
      <c r="G50" s="3"/>
      <c r="H50" s="23"/>
      <c r="I50" s="3"/>
      <c r="J50" s="3"/>
    </row>
    <row r="51" spans="1:10" s="6" customFormat="1" ht="12.75">
      <c r="A51" s="1">
        <v>47</v>
      </c>
      <c r="B51" s="1" t="s">
        <v>422</v>
      </c>
      <c r="C51" s="1" t="s">
        <v>417</v>
      </c>
      <c r="D51" s="64">
        <v>2503.4</v>
      </c>
      <c r="E51" s="209">
        <v>44946</v>
      </c>
      <c r="F51" s="214"/>
      <c r="G51" s="3"/>
      <c r="H51" s="23"/>
      <c r="I51" s="3"/>
      <c r="J51" s="3"/>
    </row>
    <row r="52" spans="1:10" s="6" customFormat="1" ht="12.75">
      <c r="A52" s="1">
        <v>48</v>
      </c>
      <c r="B52" s="1" t="s">
        <v>422</v>
      </c>
      <c r="C52" s="1" t="s">
        <v>398</v>
      </c>
      <c r="D52" s="64">
        <v>15421.96</v>
      </c>
      <c r="E52" s="209">
        <v>44858</v>
      </c>
      <c r="F52" s="214"/>
      <c r="G52" s="3"/>
      <c r="H52" s="23"/>
      <c r="I52" s="3"/>
      <c r="J52" s="3"/>
    </row>
    <row r="53" spans="1:10" s="6" customFormat="1" ht="12.75">
      <c r="A53" s="1">
        <v>49</v>
      </c>
      <c r="B53" s="1" t="s">
        <v>423</v>
      </c>
      <c r="C53" s="1" t="s">
        <v>398</v>
      </c>
      <c r="D53" s="64">
        <v>15421.96</v>
      </c>
      <c r="E53" s="209">
        <v>44987</v>
      </c>
      <c r="F53" s="214"/>
      <c r="G53" s="3"/>
      <c r="H53" s="23"/>
      <c r="I53" s="3"/>
      <c r="J53" s="3"/>
    </row>
    <row r="54" spans="1:10" s="6" customFormat="1" ht="12.75">
      <c r="A54" s="1">
        <v>50</v>
      </c>
      <c r="B54" s="1" t="s">
        <v>424</v>
      </c>
      <c r="C54" s="1" t="s">
        <v>372</v>
      </c>
      <c r="D54" s="64">
        <v>2510.2</v>
      </c>
      <c r="E54" s="209">
        <v>45118</v>
      </c>
      <c r="F54" s="214"/>
      <c r="G54" s="3"/>
      <c r="H54" s="23"/>
      <c r="I54" s="3"/>
      <c r="J54" s="3"/>
    </row>
    <row r="55" spans="1:10" s="6" customFormat="1" ht="12.75">
      <c r="A55" s="1">
        <v>51</v>
      </c>
      <c r="B55" s="1" t="s">
        <v>425</v>
      </c>
      <c r="C55" s="1" t="s">
        <v>386</v>
      </c>
      <c r="D55" s="64">
        <v>70122.98</v>
      </c>
      <c r="E55" s="209">
        <v>45198</v>
      </c>
      <c r="F55" s="214"/>
      <c r="G55" s="3"/>
      <c r="H55" s="23"/>
      <c r="I55" s="3"/>
      <c r="J55" s="3"/>
    </row>
    <row r="56" spans="1:10" s="6" customFormat="1" ht="12.75">
      <c r="A56" s="1">
        <v>52</v>
      </c>
      <c r="B56" s="1" t="s">
        <v>426</v>
      </c>
      <c r="C56" s="1" t="s">
        <v>370</v>
      </c>
      <c r="D56" s="64">
        <v>3999.99</v>
      </c>
      <c r="E56" s="209">
        <v>45046</v>
      </c>
      <c r="F56" s="214"/>
      <c r="G56" s="3"/>
      <c r="H56" s="23"/>
      <c r="I56" s="3"/>
      <c r="J56" s="3"/>
    </row>
    <row r="57" spans="1:10" s="6" customFormat="1" ht="12.75">
      <c r="A57" s="1">
        <v>53</v>
      </c>
      <c r="B57" s="1" t="s">
        <v>427</v>
      </c>
      <c r="C57" s="1" t="s">
        <v>386</v>
      </c>
      <c r="D57" s="64">
        <v>73224.34</v>
      </c>
      <c r="E57" s="209">
        <v>45198</v>
      </c>
      <c r="F57" s="214"/>
      <c r="G57" s="3"/>
      <c r="H57" s="23"/>
      <c r="I57" s="3"/>
      <c r="J57" s="3"/>
    </row>
    <row r="58" spans="1:10" s="6" customFormat="1" ht="12.75">
      <c r="A58" s="1">
        <v>54</v>
      </c>
      <c r="B58" s="1" t="s">
        <v>428</v>
      </c>
      <c r="C58" s="1" t="s">
        <v>429</v>
      </c>
      <c r="D58" s="64">
        <v>259202.62</v>
      </c>
      <c r="E58" s="209">
        <v>45009</v>
      </c>
      <c r="F58" s="214"/>
      <c r="G58" s="3"/>
      <c r="H58" s="23"/>
      <c r="I58" s="3"/>
      <c r="J58" s="3"/>
    </row>
    <row r="59" spans="1:10" s="6" customFormat="1" ht="12.75">
      <c r="A59" s="1">
        <v>55</v>
      </c>
      <c r="B59" s="1" t="s">
        <v>430</v>
      </c>
      <c r="C59" s="1" t="s">
        <v>429</v>
      </c>
      <c r="D59" s="64">
        <f>127342.58+2268.09</f>
        <v>129610.67</v>
      </c>
      <c r="E59" s="209">
        <v>45086</v>
      </c>
      <c r="F59" s="214"/>
      <c r="G59" s="3"/>
      <c r="H59" s="23"/>
      <c r="I59" s="3"/>
      <c r="J59" s="3"/>
    </row>
    <row r="60" spans="1:10" s="6" customFormat="1" ht="12.75">
      <c r="A60" s="1">
        <v>56</v>
      </c>
      <c r="B60" s="1" t="s">
        <v>431</v>
      </c>
      <c r="C60" s="1" t="s">
        <v>429</v>
      </c>
      <c r="D60" s="64">
        <v>116500</v>
      </c>
      <c r="E60" s="209">
        <v>45128</v>
      </c>
      <c r="F60" s="214"/>
      <c r="G60" s="3"/>
      <c r="H60" s="23"/>
      <c r="I60" s="3"/>
      <c r="J60" s="3"/>
    </row>
    <row r="61" spans="1:10" s="6" customFormat="1" ht="12.75">
      <c r="A61" s="1">
        <v>57</v>
      </c>
      <c r="B61" s="1" t="s">
        <v>432</v>
      </c>
      <c r="C61" s="1" t="s">
        <v>429</v>
      </c>
      <c r="D61" s="64">
        <v>127000</v>
      </c>
      <c r="E61" s="209">
        <v>45237</v>
      </c>
      <c r="F61" s="214"/>
      <c r="G61" s="3"/>
      <c r="H61" s="23"/>
      <c r="I61" s="3"/>
      <c r="J61" s="3"/>
    </row>
    <row r="62" spans="1:10" s="6" customFormat="1" ht="12.75">
      <c r="A62" s="1">
        <v>58</v>
      </c>
      <c r="B62" s="1" t="s">
        <v>433</v>
      </c>
      <c r="C62" s="1" t="s">
        <v>429</v>
      </c>
      <c r="D62" s="64">
        <v>129607.46</v>
      </c>
      <c r="E62" s="209">
        <v>45097</v>
      </c>
      <c r="F62" s="214"/>
      <c r="G62" s="3"/>
      <c r="H62" s="23"/>
      <c r="I62" s="3"/>
      <c r="J62" s="3"/>
    </row>
    <row r="63" spans="1:10" s="6" customFormat="1" ht="12.75">
      <c r="A63" s="1">
        <v>59</v>
      </c>
      <c r="B63" s="1" t="s">
        <v>434</v>
      </c>
      <c r="C63" s="1" t="s">
        <v>429</v>
      </c>
      <c r="D63" s="64">
        <v>139801.05</v>
      </c>
      <c r="E63" s="209">
        <v>45128</v>
      </c>
      <c r="F63" s="214"/>
      <c r="G63" s="3"/>
      <c r="H63" s="23"/>
      <c r="I63" s="3"/>
      <c r="J63" s="3"/>
    </row>
    <row r="64" spans="1:10" s="6" customFormat="1" ht="12.75">
      <c r="A64" s="1">
        <v>60</v>
      </c>
      <c r="B64" s="1" t="s">
        <v>435</v>
      </c>
      <c r="C64" s="1" t="s">
        <v>436</v>
      </c>
      <c r="D64" s="64">
        <v>61566.61</v>
      </c>
      <c r="E64" s="209">
        <v>45198</v>
      </c>
      <c r="F64" s="214"/>
      <c r="G64" s="3"/>
      <c r="H64" s="23"/>
      <c r="I64" s="3"/>
      <c r="J64" s="3"/>
    </row>
    <row r="65" spans="1:10" s="6" customFormat="1" ht="12.75">
      <c r="A65" s="1">
        <v>61</v>
      </c>
      <c r="B65" s="1" t="s">
        <v>437</v>
      </c>
      <c r="C65" s="1" t="s">
        <v>429</v>
      </c>
      <c r="D65" s="64">
        <v>116500</v>
      </c>
      <c r="E65" s="209">
        <v>45127</v>
      </c>
      <c r="F65" s="214"/>
      <c r="G65" s="3"/>
      <c r="H65" s="23"/>
      <c r="I65" s="3"/>
      <c r="J65" s="3"/>
    </row>
    <row r="66" spans="1:10" s="6" customFormat="1" ht="12.75">
      <c r="A66" s="1">
        <v>62</v>
      </c>
      <c r="B66" s="1" t="s">
        <v>438</v>
      </c>
      <c r="C66" s="1" t="s">
        <v>380</v>
      </c>
      <c r="D66" s="64">
        <v>3463</v>
      </c>
      <c r="E66" s="209">
        <v>44972</v>
      </c>
      <c r="F66" s="214"/>
      <c r="G66" s="3"/>
      <c r="H66" s="23"/>
      <c r="I66" s="3"/>
      <c r="J66" s="3"/>
    </row>
    <row r="67" spans="1:10" s="6" customFormat="1" ht="12.75">
      <c r="A67" s="1">
        <v>63</v>
      </c>
      <c r="B67" s="1" t="s">
        <v>439</v>
      </c>
      <c r="C67" s="1" t="s">
        <v>429</v>
      </c>
      <c r="D67" s="64">
        <v>137834.75</v>
      </c>
      <c r="E67" s="209">
        <v>45128</v>
      </c>
      <c r="F67" s="214"/>
      <c r="G67" s="3"/>
      <c r="H67" s="23"/>
      <c r="I67" s="3"/>
      <c r="J67" s="3"/>
    </row>
    <row r="68" spans="1:10" s="6" customFormat="1" ht="12.75">
      <c r="A68" s="1">
        <v>64</v>
      </c>
      <c r="B68" s="1" t="s">
        <v>440</v>
      </c>
      <c r="C68" s="1" t="s">
        <v>429</v>
      </c>
      <c r="D68" s="64">
        <v>119930</v>
      </c>
      <c r="E68" s="209">
        <v>45239</v>
      </c>
      <c r="F68" s="214"/>
      <c r="G68" s="3"/>
      <c r="H68" s="23"/>
      <c r="I68" s="3"/>
      <c r="J68" s="3"/>
    </row>
    <row r="69" spans="1:10" s="6" customFormat="1" ht="12.75">
      <c r="A69" s="1">
        <v>65</v>
      </c>
      <c r="B69" s="1" t="s">
        <v>441</v>
      </c>
      <c r="C69" s="1" t="s">
        <v>429</v>
      </c>
      <c r="D69" s="64">
        <v>131100</v>
      </c>
      <c r="E69" s="209">
        <v>45238</v>
      </c>
      <c r="F69" s="214"/>
      <c r="G69" s="3"/>
      <c r="H69" s="23"/>
      <c r="I69" s="3"/>
      <c r="J69" s="3"/>
    </row>
    <row r="70" spans="1:10" s="6" customFormat="1" ht="12.75">
      <c r="A70" s="1">
        <v>66</v>
      </c>
      <c r="B70" s="1" t="s">
        <v>442</v>
      </c>
      <c r="C70" s="1" t="s">
        <v>386</v>
      </c>
      <c r="D70" s="64">
        <v>88035.14</v>
      </c>
      <c r="E70" s="209">
        <v>45278</v>
      </c>
      <c r="F70" s="214"/>
      <c r="G70" s="3"/>
      <c r="H70" s="23"/>
      <c r="I70" s="3"/>
      <c r="J70" s="3"/>
    </row>
    <row r="71" spans="1:10" s="6" customFormat="1" ht="12.75">
      <c r="A71" s="1">
        <v>67</v>
      </c>
      <c r="B71" s="1" t="s">
        <v>443</v>
      </c>
      <c r="C71" s="1" t="s">
        <v>386</v>
      </c>
      <c r="D71" s="64">
        <v>73873.45</v>
      </c>
      <c r="E71" s="209">
        <v>45198</v>
      </c>
      <c r="F71" s="214"/>
      <c r="G71" s="3"/>
      <c r="H71" s="23"/>
      <c r="I71" s="3"/>
      <c r="J71" s="3"/>
    </row>
    <row r="72" spans="1:10" s="6" customFormat="1" ht="12.75">
      <c r="A72" s="1">
        <v>68</v>
      </c>
      <c r="B72" s="1" t="s">
        <v>444</v>
      </c>
      <c r="C72" s="1" t="s">
        <v>429</v>
      </c>
      <c r="D72" s="64">
        <v>130000</v>
      </c>
      <c r="E72" s="209">
        <v>45194</v>
      </c>
      <c r="F72" s="214"/>
      <c r="G72" s="3"/>
      <c r="H72" s="23"/>
      <c r="I72" s="3"/>
      <c r="J72" s="3"/>
    </row>
    <row r="73" spans="1:10" s="6" customFormat="1" ht="12.75">
      <c r="A73" s="1">
        <v>69</v>
      </c>
      <c r="B73" s="1" t="s">
        <v>445</v>
      </c>
      <c r="C73" s="1" t="s">
        <v>429</v>
      </c>
      <c r="D73" s="64">
        <f>59462.26+70137.84</f>
        <v>129600.1</v>
      </c>
      <c r="E73" s="209">
        <v>45097</v>
      </c>
      <c r="F73" s="214"/>
      <c r="G73" s="3"/>
      <c r="H73" s="23"/>
      <c r="I73" s="3"/>
      <c r="J73" s="3"/>
    </row>
    <row r="74" spans="1:10" s="6" customFormat="1" ht="12.75">
      <c r="A74" s="1">
        <v>70</v>
      </c>
      <c r="B74" s="1" t="s">
        <v>446</v>
      </c>
      <c r="C74" s="1" t="s">
        <v>429</v>
      </c>
      <c r="D74" s="64">
        <v>264000</v>
      </c>
      <c r="E74" s="209">
        <v>45219</v>
      </c>
      <c r="F74" s="214"/>
      <c r="G74" s="3"/>
      <c r="H74" s="23"/>
      <c r="I74" s="3"/>
      <c r="J74" s="3"/>
    </row>
    <row r="75" spans="1:10" s="6" customFormat="1" ht="12.75">
      <c r="A75" s="1">
        <v>71</v>
      </c>
      <c r="B75" s="1" t="s">
        <v>447</v>
      </c>
      <c r="C75" s="1" t="s">
        <v>384</v>
      </c>
      <c r="D75" s="64">
        <v>38120</v>
      </c>
      <c r="E75" s="209">
        <v>45271</v>
      </c>
      <c r="F75" s="214"/>
      <c r="G75" s="3"/>
      <c r="H75" s="23"/>
      <c r="I75" s="3"/>
      <c r="J75" s="3"/>
    </row>
    <row r="76" spans="1:10" s="6" customFormat="1" ht="12.75">
      <c r="A76" s="1">
        <v>72</v>
      </c>
      <c r="B76" s="1" t="s">
        <v>448</v>
      </c>
      <c r="C76" s="1" t="s">
        <v>386</v>
      </c>
      <c r="D76" s="64">
        <v>73224.34</v>
      </c>
      <c r="E76" s="209">
        <v>45198</v>
      </c>
      <c r="F76" s="214"/>
      <c r="G76" s="3"/>
      <c r="H76" s="23"/>
      <c r="I76" s="3"/>
      <c r="J76" s="3"/>
    </row>
    <row r="77" spans="1:10" s="6" customFormat="1" ht="12.75">
      <c r="A77" s="1">
        <v>73</v>
      </c>
      <c r="B77" s="1" t="s">
        <v>449</v>
      </c>
      <c r="C77" s="1" t="s">
        <v>380</v>
      </c>
      <c r="D77" s="64">
        <v>4073</v>
      </c>
      <c r="E77" s="209">
        <v>44946</v>
      </c>
      <c r="F77" s="214"/>
      <c r="G77" s="3"/>
      <c r="H77" s="23"/>
      <c r="I77" s="3"/>
      <c r="J77" s="3"/>
    </row>
    <row r="78" spans="1:10" s="6" customFormat="1" ht="12.75">
      <c r="A78" s="1">
        <v>74</v>
      </c>
      <c r="B78" s="1" t="s">
        <v>450</v>
      </c>
      <c r="C78" s="1" t="s">
        <v>451</v>
      </c>
      <c r="D78" s="64">
        <v>5369.01</v>
      </c>
      <c r="E78" s="209">
        <v>45279</v>
      </c>
      <c r="F78" s="214"/>
      <c r="G78" s="3"/>
      <c r="H78" s="23"/>
      <c r="I78" s="23"/>
      <c r="J78" s="3"/>
    </row>
    <row r="79" spans="1:10" s="6" customFormat="1" ht="12.75">
      <c r="A79" s="1">
        <v>75</v>
      </c>
      <c r="B79" s="1" t="s">
        <v>450</v>
      </c>
      <c r="C79" s="1" t="s">
        <v>451</v>
      </c>
      <c r="D79" s="64">
        <v>5369.01</v>
      </c>
      <c r="E79" s="209">
        <v>45285</v>
      </c>
      <c r="F79" s="214"/>
      <c r="G79" s="3"/>
      <c r="H79" s="23"/>
      <c r="I79" s="23"/>
      <c r="J79" s="3"/>
    </row>
    <row r="80" spans="1:10" s="6" customFormat="1" ht="12.75">
      <c r="A80" s="1">
        <v>76</v>
      </c>
      <c r="B80" s="1" t="s">
        <v>452</v>
      </c>
      <c r="C80" s="1" t="s">
        <v>380</v>
      </c>
      <c r="D80" s="64">
        <f>803.84+2659.16</f>
        <v>3463</v>
      </c>
      <c r="E80" s="209">
        <v>44991</v>
      </c>
      <c r="F80" s="214"/>
      <c r="G80" s="3"/>
      <c r="H80" s="23"/>
      <c r="I80" s="3"/>
      <c r="J80" s="3"/>
    </row>
    <row r="81" spans="1:10" s="6" customFormat="1" ht="12.75">
      <c r="A81" s="1">
        <v>77</v>
      </c>
      <c r="B81" s="1" t="s">
        <v>453</v>
      </c>
      <c r="C81" s="1" t="s">
        <v>380</v>
      </c>
      <c r="D81" s="64">
        <v>8080</v>
      </c>
      <c r="E81" s="209">
        <v>44985</v>
      </c>
      <c r="F81" s="214"/>
      <c r="G81" s="3"/>
      <c r="H81" s="23"/>
      <c r="I81" s="3"/>
      <c r="J81" s="3"/>
    </row>
    <row r="82" spans="1:10" s="6" customFormat="1" ht="12.75">
      <c r="A82" s="1">
        <v>78</v>
      </c>
      <c r="B82" s="1" t="s">
        <v>453</v>
      </c>
      <c r="C82" s="1" t="s">
        <v>384</v>
      </c>
      <c r="D82" s="64">
        <v>38500</v>
      </c>
      <c r="E82" s="209">
        <v>45240</v>
      </c>
      <c r="F82" s="214"/>
      <c r="G82" s="3"/>
      <c r="H82" s="23"/>
      <c r="I82" s="3"/>
      <c r="J82" s="3"/>
    </row>
    <row r="83" spans="1:10" s="6" customFormat="1" ht="12.75">
      <c r="A83" s="1">
        <v>79</v>
      </c>
      <c r="B83" s="1" t="s">
        <v>454</v>
      </c>
      <c r="C83" s="1" t="s">
        <v>455</v>
      </c>
      <c r="D83" s="64">
        <v>120021.08</v>
      </c>
      <c r="E83" s="209">
        <v>45205</v>
      </c>
      <c r="F83" s="214"/>
      <c r="G83" s="3"/>
      <c r="H83" s="23"/>
      <c r="I83" s="3"/>
      <c r="J83" s="3"/>
    </row>
    <row r="84" spans="1:10" s="6" customFormat="1" ht="12.75">
      <c r="A84" s="1">
        <v>80</v>
      </c>
      <c r="B84" s="1" t="s">
        <v>456</v>
      </c>
      <c r="C84" s="1" t="s">
        <v>417</v>
      </c>
      <c r="D84" s="64">
        <v>2503.4</v>
      </c>
      <c r="E84" s="209">
        <v>44957</v>
      </c>
      <c r="F84" s="214"/>
      <c r="G84" s="3"/>
      <c r="H84" s="23"/>
      <c r="I84" s="3"/>
      <c r="J84" s="3"/>
    </row>
    <row r="85" spans="1:10" s="6" customFormat="1" ht="12.75">
      <c r="A85" s="1">
        <v>81</v>
      </c>
      <c r="B85" s="1" t="s">
        <v>457</v>
      </c>
      <c r="C85" s="1" t="s">
        <v>458</v>
      </c>
      <c r="D85" s="64">
        <v>20613.45</v>
      </c>
      <c r="E85" s="209">
        <v>45114</v>
      </c>
      <c r="F85" s="214"/>
      <c r="G85" s="3"/>
      <c r="H85" s="23"/>
      <c r="I85" s="3"/>
      <c r="J85" s="3"/>
    </row>
    <row r="86" spans="1:10" s="6" customFormat="1" ht="12.75">
      <c r="A86" s="1">
        <v>82</v>
      </c>
      <c r="B86" s="1" t="s">
        <v>457</v>
      </c>
      <c r="C86" s="1" t="s">
        <v>398</v>
      </c>
      <c r="D86" s="64">
        <v>17660.46</v>
      </c>
      <c r="E86" s="209">
        <v>45239</v>
      </c>
      <c r="F86" s="214"/>
      <c r="G86" s="3"/>
      <c r="H86" s="23"/>
      <c r="I86" s="3"/>
      <c r="J86" s="3"/>
    </row>
    <row r="87" spans="1:10" s="6" customFormat="1" ht="12.75">
      <c r="A87" s="1">
        <v>83</v>
      </c>
      <c r="B87" s="1" t="s">
        <v>459</v>
      </c>
      <c r="C87" s="1" t="s">
        <v>386</v>
      </c>
      <c r="D87" s="64">
        <v>70122.98</v>
      </c>
      <c r="E87" s="209">
        <v>45198</v>
      </c>
      <c r="F87" s="214"/>
      <c r="G87" s="3"/>
      <c r="H87" s="23"/>
      <c r="I87" s="3"/>
      <c r="J87" s="3"/>
    </row>
    <row r="88" spans="1:10" s="6" customFormat="1" ht="12.75">
      <c r="A88" s="1">
        <v>84</v>
      </c>
      <c r="B88" s="1" t="s">
        <v>460</v>
      </c>
      <c r="C88" s="1" t="s">
        <v>461</v>
      </c>
      <c r="D88" s="64">
        <v>5369.01</v>
      </c>
      <c r="E88" s="209">
        <v>45291</v>
      </c>
      <c r="F88" s="214"/>
      <c r="G88" s="3"/>
      <c r="H88" s="23"/>
      <c r="I88" s="3"/>
      <c r="J88" s="3"/>
    </row>
    <row r="89" spans="1:10" s="6" customFormat="1" ht="12.75">
      <c r="A89" s="1">
        <v>85</v>
      </c>
      <c r="B89" s="1" t="s">
        <v>462</v>
      </c>
      <c r="C89" s="1" t="s">
        <v>398</v>
      </c>
      <c r="D89" s="64">
        <v>15421.96</v>
      </c>
      <c r="E89" s="209">
        <v>44987</v>
      </c>
      <c r="F89" s="214"/>
      <c r="G89" s="3"/>
      <c r="H89" s="23"/>
      <c r="I89" s="3"/>
      <c r="J89" s="3"/>
    </row>
    <row r="90" spans="1:10" s="6" customFormat="1" ht="12.75">
      <c r="A90" s="1">
        <v>86</v>
      </c>
      <c r="B90" s="1" t="s">
        <v>463</v>
      </c>
      <c r="C90" s="1" t="s">
        <v>386</v>
      </c>
      <c r="D90" s="64">
        <v>93560</v>
      </c>
      <c r="E90" s="209">
        <v>45278</v>
      </c>
      <c r="F90" s="214"/>
      <c r="G90" s="3"/>
      <c r="H90" s="23"/>
      <c r="I90" s="3"/>
      <c r="J90" s="3"/>
    </row>
    <row r="91" spans="1:10" s="6" customFormat="1" ht="12.75">
      <c r="A91" s="1">
        <v>87</v>
      </c>
      <c r="B91" s="1" t="s">
        <v>464</v>
      </c>
      <c r="C91" s="1" t="s">
        <v>465</v>
      </c>
      <c r="D91" s="64">
        <v>25430</v>
      </c>
      <c r="E91" s="210">
        <v>45008</v>
      </c>
      <c r="F91" s="214"/>
      <c r="G91" s="3"/>
      <c r="H91" s="23"/>
      <c r="I91" s="3"/>
      <c r="J91" s="3"/>
    </row>
    <row r="92" spans="1:10" s="6" customFormat="1" ht="12.75">
      <c r="A92" s="1">
        <v>88</v>
      </c>
      <c r="B92" s="1" t="s">
        <v>466</v>
      </c>
      <c r="C92" s="1" t="s">
        <v>429</v>
      </c>
      <c r="D92" s="64">
        <v>108000</v>
      </c>
      <c r="E92" s="209">
        <v>45090</v>
      </c>
      <c r="F92" s="214"/>
      <c r="G92" s="3"/>
      <c r="H92" s="23"/>
      <c r="I92" s="3"/>
      <c r="J92" s="3"/>
    </row>
    <row r="93" spans="1:10" s="6" customFormat="1" ht="12.75">
      <c r="A93" s="1">
        <v>89</v>
      </c>
      <c r="B93" s="1" t="s">
        <v>467</v>
      </c>
      <c r="C93" s="1" t="s">
        <v>429</v>
      </c>
      <c r="D93" s="64">
        <v>86000</v>
      </c>
      <c r="E93" s="209">
        <v>44935</v>
      </c>
      <c r="F93" s="214"/>
      <c r="G93" s="3"/>
      <c r="H93" s="23"/>
      <c r="I93" s="3"/>
      <c r="J93" s="3"/>
    </row>
    <row r="94" spans="1:10" s="6" customFormat="1" ht="12.75">
      <c r="A94" s="1">
        <v>90</v>
      </c>
      <c r="B94" s="1" t="s">
        <v>468</v>
      </c>
      <c r="C94" s="1" t="s">
        <v>429</v>
      </c>
      <c r="D94" s="64">
        <v>86000</v>
      </c>
      <c r="E94" s="209">
        <v>44952</v>
      </c>
      <c r="F94" s="214"/>
      <c r="G94" s="3"/>
      <c r="H94" s="23"/>
      <c r="I94" s="3"/>
      <c r="J94" s="3"/>
    </row>
    <row r="95" spans="1:10" s="6" customFormat="1" ht="12.75">
      <c r="A95" s="1">
        <v>91</v>
      </c>
      <c r="B95" s="1" t="s">
        <v>469</v>
      </c>
      <c r="C95" s="1" t="s">
        <v>429</v>
      </c>
      <c r="D95" s="64">
        <v>116900</v>
      </c>
      <c r="E95" s="209">
        <v>45252</v>
      </c>
      <c r="F95" s="214"/>
      <c r="G95" s="3"/>
      <c r="H95" s="23"/>
      <c r="I95" s="3"/>
      <c r="J95" s="3"/>
    </row>
    <row r="96" spans="1:10" s="6" customFormat="1" ht="12.75">
      <c r="A96" s="1">
        <v>92</v>
      </c>
      <c r="B96" s="1" t="s">
        <v>470</v>
      </c>
      <c r="C96" s="1" t="s">
        <v>398</v>
      </c>
      <c r="D96" s="64">
        <f>14974.95+3642.16</f>
        <v>18617.11</v>
      </c>
      <c r="E96" s="210">
        <v>44456</v>
      </c>
      <c r="F96" s="214"/>
      <c r="G96" s="3"/>
      <c r="H96" s="23"/>
      <c r="I96" s="3"/>
      <c r="J96" s="3"/>
    </row>
    <row r="97" spans="1:10" s="6" customFormat="1" ht="12.75">
      <c r="A97" s="1">
        <v>93</v>
      </c>
      <c r="B97" s="1" t="s">
        <v>471</v>
      </c>
      <c r="C97" s="1" t="s">
        <v>398</v>
      </c>
      <c r="D97" s="64">
        <f>14974.95+3642.16</f>
        <v>18617.11</v>
      </c>
      <c r="E97" s="210">
        <v>44454</v>
      </c>
      <c r="F97" s="214"/>
      <c r="G97" s="3"/>
      <c r="H97" s="23"/>
      <c r="I97" s="3"/>
      <c r="J97" s="3"/>
    </row>
    <row r="98" spans="1:10" s="6" customFormat="1" ht="12.75">
      <c r="A98" s="1">
        <v>94</v>
      </c>
      <c r="B98" s="1" t="s">
        <v>472</v>
      </c>
      <c r="C98" s="1" t="s">
        <v>398</v>
      </c>
      <c r="D98" s="64">
        <f>5935.46+12681.65</f>
        <v>18617.11</v>
      </c>
      <c r="E98" s="210" t="s">
        <v>399</v>
      </c>
      <c r="F98" s="214"/>
      <c r="G98" s="3"/>
      <c r="H98" s="23"/>
      <c r="I98" s="3"/>
      <c r="J98" s="3"/>
    </row>
    <row r="99" spans="1:10" s="6" customFormat="1" ht="12.75">
      <c r="A99" s="1">
        <v>95</v>
      </c>
      <c r="B99" s="1" t="s">
        <v>473</v>
      </c>
      <c r="C99" s="1" t="s">
        <v>398</v>
      </c>
      <c r="D99" s="64">
        <v>15421.96</v>
      </c>
      <c r="E99" s="210">
        <v>45222</v>
      </c>
      <c r="F99" s="214"/>
      <c r="G99" s="3"/>
      <c r="H99" s="23"/>
      <c r="I99" s="3"/>
      <c r="J99" s="3"/>
    </row>
    <row r="100" spans="1:10" s="6" customFormat="1" ht="12.75">
      <c r="A100" s="1">
        <v>96</v>
      </c>
      <c r="B100" s="1" t="s">
        <v>474</v>
      </c>
      <c r="C100" s="1" t="s">
        <v>398</v>
      </c>
      <c r="D100" s="64">
        <v>12882.65</v>
      </c>
      <c r="E100" s="210">
        <v>44837</v>
      </c>
      <c r="F100" s="214"/>
      <c r="G100" s="3"/>
      <c r="H100" s="23"/>
      <c r="I100" s="3"/>
      <c r="J100" s="3"/>
    </row>
    <row r="101" spans="1:10" s="6" customFormat="1" ht="12.75">
      <c r="A101" s="1">
        <v>97</v>
      </c>
      <c r="B101" s="1" t="s">
        <v>474</v>
      </c>
      <c r="C101" s="1" t="s">
        <v>417</v>
      </c>
      <c r="D101" s="64">
        <v>2503.4</v>
      </c>
      <c r="E101" s="209">
        <v>44946</v>
      </c>
      <c r="F101" s="214"/>
      <c r="G101" s="3"/>
      <c r="H101" s="23"/>
      <c r="I101" s="3"/>
      <c r="J101" s="3"/>
    </row>
    <row r="102" spans="1:10" s="6" customFormat="1" ht="12.75">
      <c r="A102" s="1">
        <v>98</v>
      </c>
      <c r="B102" s="1" t="s">
        <v>475</v>
      </c>
      <c r="C102" s="1" t="s">
        <v>384</v>
      </c>
      <c r="D102" s="64">
        <v>40500</v>
      </c>
      <c r="E102" s="209">
        <v>45001</v>
      </c>
      <c r="F102" s="214"/>
      <c r="G102" s="3"/>
      <c r="H102" s="23"/>
      <c r="I102" s="3"/>
      <c r="J102" s="3"/>
    </row>
    <row r="103" spans="1:10" s="6" customFormat="1" ht="12.75">
      <c r="A103" s="1">
        <v>99</v>
      </c>
      <c r="B103" s="1" t="s">
        <v>476</v>
      </c>
      <c r="C103" s="1" t="s">
        <v>380</v>
      </c>
      <c r="D103" s="64">
        <v>5148</v>
      </c>
      <c r="E103" s="209">
        <v>45002</v>
      </c>
      <c r="F103" s="214"/>
      <c r="G103" s="3"/>
      <c r="H103" s="23"/>
      <c r="I103" s="3"/>
      <c r="J103" s="3"/>
    </row>
    <row r="104" spans="1:10" s="6" customFormat="1" ht="12.75">
      <c r="A104" s="1">
        <v>100</v>
      </c>
      <c r="B104" s="1" t="s">
        <v>477</v>
      </c>
      <c r="C104" s="1" t="s">
        <v>384</v>
      </c>
      <c r="D104" s="64">
        <f>16566.64+29845.7+45587.66</f>
        <v>92000</v>
      </c>
      <c r="E104" s="209">
        <v>45197</v>
      </c>
      <c r="F104" s="214"/>
      <c r="G104" s="3"/>
      <c r="H104" s="23"/>
      <c r="I104" s="3"/>
      <c r="J104" s="3"/>
    </row>
    <row r="105" spans="1:10" s="6" customFormat="1" ht="12.75">
      <c r="A105" s="1">
        <v>101</v>
      </c>
      <c r="B105" s="1" t="s">
        <v>478</v>
      </c>
      <c r="C105" s="1" t="s">
        <v>370</v>
      </c>
      <c r="D105" s="64">
        <v>4000</v>
      </c>
      <c r="E105" s="209">
        <v>45046</v>
      </c>
      <c r="F105" s="214"/>
      <c r="G105" s="3"/>
      <c r="H105" s="23"/>
      <c r="I105" s="3"/>
      <c r="J105" s="3"/>
    </row>
    <row r="106" spans="1:10" s="6" customFormat="1" ht="12.75">
      <c r="A106" s="1">
        <v>102</v>
      </c>
      <c r="B106" s="1" t="s">
        <v>479</v>
      </c>
      <c r="C106" s="1" t="s">
        <v>413</v>
      </c>
      <c r="D106" s="64">
        <v>134465.18</v>
      </c>
      <c r="E106" s="209">
        <v>45121</v>
      </c>
      <c r="F106" s="214"/>
      <c r="G106" s="3"/>
      <c r="H106" s="23"/>
      <c r="I106" s="3"/>
      <c r="J106" s="3"/>
    </row>
    <row r="107" spans="1:10" s="6" customFormat="1" ht="12.75">
      <c r="A107" s="1">
        <v>103</v>
      </c>
      <c r="B107" s="1" t="s">
        <v>480</v>
      </c>
      <c r="C107" s="1" t="s">
        <v>372</v>
      </c>
      <c r="D107" s="64">
        <v>31480.41</v>
      </c>
      <c r="E107" s="209">
        <v>45153</v>
      </c>
      <c r="F107" s="214"/>
      <c r="G107" s="3"/>
      <c r="H107" s="23"/>
      <c r="I107" s="3"/>
      <c r="J107" s="3"/>
    </row>
    <row r="108" spans="1:10" s="6" customFormat="1" ht="12.75">
      <c r="A108" s="1">
        <v>104</v>
      </c>
      <c r="B108" s="1" t="s">
        <v>481</v>
      </c>
      <c r="C108" s="1" t="s">
        <v>384</v>
      </c>
      <c r="D108" s="64">
        <v>36400</v>
      </c>
      <c r="E108" s="209">
        <v>45300</v>
      </c>
      <c r="F108" s="214"/>
      <c r="G108" s="3"/>
      <c r="H108" s="23"/>
      <c r="I108" s="3"/>
      <c r="J108" s="3"/>
    </row>
    <row r="109" spans="1:10" s="6" customFormat="1" ht="12.75">
      <c r="A109" s="1">
        <v>105</v>
      </c>
      <c r="B109" s="1" t="s">
        <v>482</v>
      </c>
      <c r="C109" s="1" t="s">
        <v>384</v>
      </c>
      <c r="D109" s="64">
        <v>29500</v>
      </c>
      <c r="E109" s="209">
        <v>44943</v>
      </c>
      <c r="F109" s="214"/>
      <c r="G109" s="3"/>
      <c r="H109" s="23"/>
      <c r="I109" s="3"/>
      <c r="J109" s="3"/>
    </row>
    <row r="110" spans="1:10" s="6" customFormat="1" ht="12.75">
      <c r="A110" s="1">
        <v>106</v>
      </c>
      <c r="B110" s="1" t="s">
        <v>482</v>
      </c>
      <c r="C110" s="1" t="s">
        <v>429</v>
      </c>
      <c r="D110" s="64">
        <v>86000</v>
      </c>
      <c r="E110" s="209">
        <v>44946</v>
      </c>
      <c r="F110" s="214"/>
      <c r="G110" s="3"/>
      <c r="H110" s="23"/>
      <c r="I110" s="3"/>
      <c r="J110" s="3"/>
    </row>
    <row r="111" spans="1:10" s="6" customFormat="1" ht="12.75">
      <c r="A111" s="1">
        <v>107</v>
      </c>
      <c r="B111" s="1" t="s">
        <v>483</v>
      </c>
      <c r="C111" s="1" t="s">
        <v>384</v>
      </c>
      <c r="D111" s="64">
        <v>29500</v>
      </c>
      <c r="E111" s="209">
        <v>45092</v>
      </c>
      <c r="F111" s="214"/>
      <c r="G111" s="3"/>
      <c r="H111" s="23"/>
      <c r="I111" s="3"/>
      <c r="J111" s="3"/>
    </row>
    <row r="112" spans="1:10" s="6" customFormat="1" ht="12.75">
      <c r="A112" s="1">
        <v>108</v>
      </c>
      <c r="B112" s="1" t="s">
        <v>484</v>
      </c>
      <c r="C112" s="1" t="s">
        <v>429</v>
      </c>
      <c r="D112" s="64">
        <v>26000</v>
      </c>
      <c r="E112" s="209">
        <v>45231</v>
      </c>
      <c r="F112" s="214"/>
      <c r="G112" s="3"/>
      <c r="H112" s="23"/>
      <c r="I112" s="3"/>
      <c r="J112" s="3"/>
    </row>
    <row r="113" spans="1:10" s="6" customFormat="1" ht="12.75">
      <c r="A113" s="1">
        <v>109</v>
      </c>
      <c r="B113" s="1" t="s">
        <v>485</v>
      </c>
      <c r="C113" s="1" t="s">
        <v>372</v>
      </c>
      <c r="D113" s="64">
        <v>22287.4</v>
      </c>
      <c r="E113" s="209">
        <v>45118</v>
      </c>
      <c r="F113" s="214"/>
      <c r="G113" s="3"/>
      <c r="H113" s="23"/>
      <c r="I113" s="3"/>
      <c r="J113" s="3"/>
    </row>
    <row r="114" spans="1:10" s="6" customFormat="1" ht="12.75">
      <c r="A114" s="1">
        <v>110</v>
      </c>
      <c r="B114" s="1" t="s">
        <v>486</v>
      </c>
      <c r="C114" s="1" t="s">
        <v>429</v>
      </c>
      <c r="D114" s="64">
        <v>131986.46</v>
      </c>
      <c r="E114" s="209">
        <v>45065</v>
      </c>
      <c r="F114" s="214"/>
      <c r="G114" s="3"/>
      <c r="H114" s="23"/>
      <c r="I114" s="3"/>
      <c r="J114" s="3"/>
    </row>
    <row r="115" spans="1:10" s="6" customFormat="1" ht="12.75">
      <c r="A115" s="1">
        <v>111</v>
      </c>
      <c r="B115" s="1" t="s">
        <v>487</v>
      </c>
      <c r="C115" s="1" t="s">
        <v>429</v>
      </c>
      <c r="D115" s="64">
        <v>112600</v>
      </c>
      <c r="E115" s="209">
        <v>45238</v>
      </c>
      <c r="F115" s="214"/>
      <c r="G115" s="3"/>
      <c r="H115" s="23"/>
      <c r="I115" s="3"/>
      <c r="J115" s="3"/>
    </row>
    <row r="116" spans="1:10" s="6" customFormat="1" ht="12.75">
      <c r="A116" s="1">
        <v>112</v>
      </c>
      <c r="B116" s="1" t="s">
        <v>488</v>
      </c>
      <c r="C116" s="1" t="s">
        <v>429</v>
      </c>
      <c r="D116" s="64">
        <v>112100</v>
      </c>
      <c r="E116" s="209">
        <v>45238</v>
      </c>
      <c r="F116" s="214"/>
      <c r="G116" s="3"/>
      <c r="H116" s="23"/>
      <c r="I116" s="3"/>
      <c r="J116" s="3"/>
    </row>
    <row r="117" spans="1:10" s="6" customFormat="1" ht="12.75">
      <c r="A117" s="1">
        <v>113</v>
      </c>
      <c r="B117" s="1" t="s">
        <v>489</v>
      </c>
      <c r="C117" s="1" t="s">
        <v>490</v>
      </c>
      <c r="D117" s="64">
        <f>16118.05+193883.02</f>
        <v>210001.06999999998</v>
      </c>
      <c r="E117" s="209">
        <v>45058</v>
      </c>
      <c r="F117" s="214"/>
      <c r="G117" s="3"/>
      <c r="H117" s="23"/>
      <c r="I117" s="3"/>
      <c r="J117" s="3"/>
    </row>
    <row r="118" spans="1:10" s="6" customFormat="1" ht="12.75">
      <c r="A118" s="1">
        <v>114</v>
      </c>
      <c r="B118" s="1" t="s">
        <v>491</v>
      </c>
      <c r="C118" s="1" t="s">
        <v>370</v>
      </c>
      <c r="D118" s="64">
        <v>4000</v>
      </c>
      <c r="E118" s="209">
        <v>45046</v>
      </c>
      <c r="F118" s="214"/>
      <c r="G118" s="3"/>
      <c r="H118" s="23"/>
      <c r="I118" s="3"/>
      <c r="J118" s="3"/>
    </row>
    <row r="119" spans="1:10" s="6" customFormat="1" ht="12.75">
      <c r="A119" s="1">
        <v>115</v>
      </c>
      <c r="B119" s="1" t="s">
        <v>491</v>
      </c>
      <c r="C119" s="1" t="s">
        <v>492</v>
      </c>
      <c r="D119" s="64">
        <v>40500</v>
      </c>
      <c r="E119" s="209">
        <v>45201</v>
      </c>
      <c r="F119" s="214"/>
      <c r="G119" s="3"/>
      <c r="H119" s="23"/>
      <c r="I119" s="3"/>
      <c r="J119" s="3"/>
    </row>
    <row r="120" spans="1:10" s="6" customFormat="1" ht="12.75">
      <c r="A120" s="1">
        <v>116</v>
      </c>
      <c r="B120" s="1" t="s">
        <v>491</v>
      </c>
      <c r="C120" s="1" t="s">
        <v>493</v>
      </c>
      <c r="D120" s="64">
        <v>37700</v>
      </c>
      <c r="E120" s="209">
        <v>45223</v>
      </c>
      <c r="F120" s="214"/>
      <c r="G120" s="3"/>
      <c r="H120" s="23"/>
      <c r="I120" s="3"/>
      <c r="J120" s="3"/>
    </row>
    <row r="121" spans="1:10" s="6" customFormat="1" ht="12.75">
      <c r="A121" s="1">
        <v>117</v>
      </c>
      <c r="B121" s="18" t="s">
        <v>494</v>
      </c>
      <c r="C121" s="1" t="s">
        <v>372</v>
      </c>
      <c r="D121" s="66">
        <v>16860</v>
      </c>
      <c r="E121" s="211">
        <v>45069</v>
      </c>
      <c r="F121" s="216"/>
      <c r="G121" s="3"/>
      <c r="H121" s="23"/>
      <c r="I121" s="3"/>
      <c r="J121" s="3"/>
    </row>
    <row r="122" spans="1:10" s="6" customFormat="1" ht="12.75">
      <c r="A122" s="1">
        <v>118</v>
      </c>
      <c r="B122" s="1" t="s">
        <v>495</v>
      </c>
      <c r="C122" s="1" t="s">
        <v>380</v>
      </c>
      <c r="D122" s="64">
        <v>19393</v>
      </c>
      <c r="E122" s="209"/>
      <c r="F122" s="214"/>
      <c r="G122" s="3"/>
      <c r="H122" s="23"/>
      <c r="I122" s="3"/>
      <c r="J122" s="3"/>
    </row>
    <row r="123" spans="1:10" s="6" customFormat="1" ht="12.75">
      <c r="A123" s="1">
        <v>119</v>
      </c>
      <c r="B123" s="1" t="s">
        <v>496</v>
      </c>
      <c r="C123" s="1" t="s">
        <v>384</v>
      </c>
      <c r="D123" s="64">
        <v>152000</v>
      </c>
      <c r="E123" s="209">
        <v>45219</v>
      </c>
      <c r="F123" s="214"/>
      <c r="G123" s="3"/>
      <c r="H123" s="23"/>
      <c r="I123" s="3"/>
      <c r="J123" s="3"/>
    </row>
    <row r="124" spans="1:10" s="6" customFormat="1" ht="12.75">
      <c r="A124" s="1">
        <v>120</v>
      </c>
      <c r="B124" s="1" t="s">
        <v>495</v>
      </c>
      <c r="C124" s="1" t="s">
        <v>386</v>
      </c>
      <c r="D124" s="64">
        <v>73473.45</v>
      </c>
      <c r="E124" s="209">
        <v>45278</v>
      </c>
      <c r="F124" s="214"/>
      <c r="G124" s="3"/>
      <c r="H124" s="23"/>
      <c r="I124" s="3"/>
      <c r="J124" s="3"/>
    </row>
    <row r="125" spans="1:10" s="6" customFormat="1" ht="12.75">
      <c r="A125" s="1">
        <v>121</v>
      </c>
      <c r="B125" s="1" t="s">
        <v>497</v>
      </c>
      <c r="C125" s="1" t="s">
        <v>372</v>
      </c>
      <c r="D125" s="64">
        <v>63819.84</v>
      </c>
      <c r="E125" s="209">
        <v>45153</v>
      </c>
      <c r="F125" s="214"/>
      <c r="G125" s="3"/>
      <c r="H125" s="23"/>
      <c r="I125" s="3"/>
      <c r="J125" s="3"/>
    </row>
    <row r="126" spans="1:10" s="6" customFormat="1" ht="12.75">
      <c r="A126" s="1">
        <v>122</v>
      </c>
      <c r="B126" s="1" t="s">
        <v>498</v>
      </c>
      <c r="C126" s="1" t="s">
        <v>429</v>
      </c>
      <c r="D126" s="64">
        <v>116500</v>
      </c>
      <c r="E126" s="209">
        <v>45187</v>
      </c>
      <c r="F126" s="214"/>
      <c r="G126" s="3"/>
      <c r="H126" s="23"/>
      <c r="I126" s="3"/>
      <c r="J126" s="3"/>
    </row>
    <row r="127" spans="1:10" s="6" customFormat="1" ht="12.75">
      <c r="A127" s="1">
        <v>123</v>
      </c>
      <c r="B127" s="1" t="s">
        <v>499</v>
      </c>
      <c r="C127" s="1" t="s">
        <v>500</v>
      </c>
      <c r="D127" s="64">
        <v>248294.26</v>
      </c>
      <c r="E127" s="209">
        <v>45099</v>
      </c>
      <c r="F127" s="214"/>
      <c r="G127" s="3"/>
      <c r="H127" s="23"/>
      <c r="I127" s="3"/>
      <c r="J127" s="3"/>
    </row>
    <row r="128" spans="1:10" s="6" customFormat="1" ht="12.75">
      <c r="A128" s="1">
        <v>124</v>
      </c>
      <c r="B128" s="1" t="s">
        <v>501</v>
      </c>
      <c r="C128" s="1" t="s">
        <v>500</v>
      </c>
      <c r="D128" s="64">
        <v>71624.1</v>
      </c>
      <c r="E128" s="209">
        <v>45099</v>
      </c>
      <c r="F128" s="214"/>
      <c r="G128" s="3"/>
      <c r="H128" s="23"/>
      <c r="I128" s="3"/>
      <c r="J128" s="3"/>
    </row>
    <row r="129" spans="1:10" s="6" customFormat="1" ht="14.25" customHeight="1">
      <c r="A129" s="1">
        <v>125</v>
      </c>
      <c r="B129" s="1" t="s">
        <v>502</v>
      </c>
      <c r="C129" s="1" t="s">
        <v>429</v>
      </c>
      <c r="D129" s="64">
        <f>122910.07+4602.64</f>
        <v>127512.71</v>
      </c>
      <c r="E129" s="209">
        <v>45065</v>
      </c>
      <c r="F129" s="214"/>
      <c r="G129" s="3"/>
      <c r="H129" s="23"/>
      <c r="I129" s="3"/>
      <c r="J129" s="3"/>
    </row>
    <row r="130" spans="1:10" s="6" customFormat="1" ht="12.75">
      <c r="A130" s="1">
        <v>126</v>
      </c>
      <c r="B130" s="1" t="s">
        <v>503</v>
      </c>
      <c r="C130" s="1" t="s">
        <v>429</v>
      </c>
      <c r="D130" s="64">
        <v>128043.76</v>
      </c>
      <c r="E130" s="209">
        <v>45097</v>
      </c>
      <c r="F130" s="214"/>
      <c r="G130" s="3"/>
      <c r="H130" s="23"/>
      <c r="I130" s="3"/>
      <c r="J130" s="3"/>
    </row>
    <row r="131" spans="1:10" s="6" customFormat="1" ht="12.75">
      <c r="A131" s="1">
        <v>127</v>
      </c>
      <c r="B131" s="1" t="s">
        <v>504</v>
      </c>
      <c r="C131" s="1" t="s">
        <v>380</v>
      </c>
      <c r="D131" s="64">
        <v>23383</v>
      </c>
      <c r="E131" s="209">
        <v>44974</v>
      </c>
      <c r="F131" s="214"/>
      <c r="G131" s="3"/>
      <c r="H131" s="23"/>
      <c r="I131" s="3"/>
      <c r="J131" s="3"/>
    </row>
    <row r="132" spans="1:10" s="6" customFormat="1" ht="12.75">
      <c r="A132" s="1">
        <v>128</v>
      </c>
      <c r="B132" s="1" t="s">
        <v>505</v>
      </c>
      <c r="C132" s="1" t="s">
        <v>372</v>
      </c>
      <c r="D132" s="64">
        <v>24178.39</v>
      </c>
      <c r="E132" s="209">
        <v>45153</v>
      </c>
      <c r="F132" s="214"/>
      <c r="G132" s="3"/>
      <c r="H132" s="23"/>
      <c r="I132" s="3"/>
      <c r="J132" s="3"/>
    </row>
    <row r="133" spans="1:10" s="6" customFormat="1" ht="12.75">
      <c r="A133" s="1">
        <v>129</v>
      </c>
      <c r="B133" s="1" t="s">
        <v>506</v>
      </c>
      <c r="C133" s="1" t="s">
        <v>384</v>
      </c>
      <c r="D133" s="64">
        <v>76000</v>
      </c>
      <c r="E133" s="209">
        <v>45246</v>
      </c>
      <c r="F133" s="214"/>
      <c r="G133" s="3"/>
      <c r="H133" s="23"/>
      <c r="I133" s="3"/>
      <c r="J133" s="3"/>
    </row>
    <row r="134" spans="1:10" s="6" customFormat="1" ht="12.75">
      <c r="A134" s="1">
        <v>130</v>
      </c>
      <c r="B134" s="1" t="s">
        <v>507</v>
      </c>
      <c r="C134" s="1" t="s">
        <v>384</v>
      </c>
      <c r="D134" s="64">
        <v>76000</v>
      </c>
      <c r="E134" s="209">
        <v>45245</v>
      </c>
      <c r="F134" s="214"/>
      <c r="G134" s="3"/>
      <c r="H134" s="23"/>
      <c r="I134" s="3"/>
      <c r="J134" s="3"/>
    </row>
    <row r="135" spans="1:10" s="6" customFormat="1" ht="12.75">
      <c r="A135" s="1">
        <v>131</v>
      </c>
      <c r="B135" s="1" t="s">
        <v>508</v>
      </c>
      <c r="C135" s="1" t="s">
        <v>429</v>
      </c>
      <c r="D135" s="64">
        <v>116500</v>
      </c>
      <c r="E135" s="209">
        <v>45257</v>
      </c>
      <c r="F135" s="214"/>
      <c r="G135" s="3"/>
      <c r="H135" s="23"/>
      <c r="I135" s="3"/>
      <c r="J135" s="3"/>
    </row>
    <row r="136" spans="1:10" s="6" customFormat="1" ht="12.75">
      <c r="A136" s="1">
        <v>132</v>
      </c>
      <c r="B136" s="1" t="s">
        <v>509</v>
      </c>
      <c r="C136" s="1" t="s">
        <v>429</v>
      </c>
      <c r="D136" s="64">
        <v>116500</v>
      </c>
      <c r="E136" s="209">
        <v>45257</v>
      </c>
      <c r="F136" s="214"/>
      <c r="G136" s="3"/>
      <c r="H136" s="23"/>
      <c r="I136" s="3"/>
      <c r="J136" s="3"/>
    </row>
    <row r="137" spans="1:10" s="6" customFormat="1" ht="12.75">
      <c r="A137" s="1">
        <v>133</v>
      </c>
      <c r="B137" s="1" t="s">
        <v>510</v>
      </c>
      <c r="C137" s="1" t="s">
        <v>429</v>
      </c>
      <c r="D137" s="64">
        <v>116500</v>
      </c>
      <c r="E137" s="209">
        <v>45271</v>
      </c>
      <c r="F137" s="214"/>
      <c r="G137" s="3"/>
      <c r="H137" s="23"/>
      <c r="I137" s="3"/>
      <c r="J137" s="3"/>
    </row>
    <row r="138" spans="1:10" s="6" customFormat="1" ht="12.75">
      <c r="A138" s="1">
        <v>134</v>
      </c>
      <c r="B138" s="1" t="s">
        <v>511</v>
      </c>
      <c r="C138" s="1" t="s">
        <v>429</v>
      </c>
      <c r="D138" s="64">
        <v>116500</v>
      </c>
      <c r="E138" s="209">
        <v>45271</v>
      </c>
      <c r="F138" s="214"/>
      <c r="G138" s="3"/>
      <c r="H138" s="23"/>
      <c r="I138" s="3"/>
      <c r="J138" s="3"/>
    </row>
    <row r="139" spans="1:10" s="6" customFormat="1" ht="12.75">
      <c r="A139" s="1">
        <v>135</v>
      </c>
      <c r="B139" s="1" t="s">
        <v>512</v>
      </c>
      <c r="C139" s="1" t="s">
        <v>513</v>
      </c>
      <c r="D139" s="64">
        <v>196553.94</v>
      </c>
      <c r="E139" s="209">
        <v>45114</v>
      </c>
      <c r="F139" s="214"/>
      <c r="G139" s="3"/>
      <c r="H139" s="23"/>
      <c r="I139" s="3"/>
      <c r="J139" s="3"/>
    </row>
    <row r="140" spans="1:10" s="6" customFormat="1" ht="12.75">
      <c r="A140" s="1">
        <v>136</v>
      </c>
      <c r="B140" s="1" t="s">
        <v>514</v>
      </c>
      <c r="C140" s="1" t="s">
        <v>513</v>
      </c>
      <c r="D140" s="64">
        <v>35579.64</v>
      </c>
      <c r="E140" s="209">
        <v>45114</v>
      </c>
      <c r="F140" s="214"/>
      <c r="G140" s="3"/>
      <c r="H140" s="23"/>
      <c r="I140" s="3"/>
      <c r="J140" s="3"/>
    </row>
    <row r="141" spans="1:10" s="6" customFormat="1" ht="12.75">
      <c r="A141" s="1">
        <v>137</v>
      </c>
      <c r="B141" s="1" t="s">
        <v>515</v>
      </c>
      <c r="C141" s="1" t="s">
        <v>429</v>
      </c>
      <c r="D141" s="64">
        <v>114900</v>
      </c>
      <c r="E141" s="209">
        <v>45210</v>
      </c>
      <c r="F141" s="214"/>
      <c r="G141" s="3"/>
      <c r="H141" s="23"/>
      <c r="I141" s="3"/>
      <c r="J141" s="3"/>
    </row>
    <row r="142" spans="1:10" s="6" customFormat="1" ht="12.75">
      <c r="A142" s="1">
        <v>138</v>
      </c>
      <c r="B142" s="1" t="s">
        <v>516</v>
      </c>
      <c r="C142" s="1" t="s">
        <v>386</v>
      </c>
      <c r="D142" s="64">
        <v>78540.49</v>
      </c>
      <c r="E142" s="209">
        <v>45278</v>
      </c>
      <c r="F142" s="214"/>
      <c r="G142" s="3"/>
      <c r="H142" s="23"/>
      <c r="I142" s="3"/>
      <c r="J142" s="3"/>
    </row>
    <row r="143" spans="1:10" s="6" customFormat="1" ht="12.75">
      <c r="A143" s="1">
        <v>139</v>
      </c>
      <c r="B143" s="1" t="s">
        <v>517</v>
      </c>
      <c r="C143" s="1" t="s">
        <v>372</v>
      </c>
      <c r="D143" s="64">
        <v>17014.13</v>
      </c>
      <c r="E143" s="209">
        <v>45153</v>
      </c>
      <c r="F143" s="214"/>
      <c r="G143" s="3"/>
      <c r="H143" s="23"/>
      <c r="I143" s="3"/>
      <c r="J143" s="3"/>
    </row>
    <row r="144" spans="1:10" s="6" customFormat="1" ht="12.75">
      <c r="A144" s="1">
        <v>140</v>
      </c>
      <c r="B144" s="1" t="s">
        <v>517</v>
      </c>
      <c r="C144" s="1" t="s">
        <v>386</v>
      </c>
      <c r="D144" s="64">
        <v>69473.87</v>
      </c>
      <c r="E144" s="209">
        <v>45278</v>
      </c>
      <c r="F144" s="214"/>
      <c r="G144" s="3"/>
      <c r="H144" s="23"/>
      <c r="I144" s="3"/>
      <c r="J144" s="3"/>
    </row>
    <row r="145" spans="1:10" s="6" customFormat="1" ht="12.75">
      <c r="A145" s="1">
        <v>141</v>
      </c>
      <c r="B145" s="1" t="s">
        <v>518</v>
      </c>
      <c r="C145" s="1" t="s">
        <v>372</v>
      </c>
      <c r="D145" s="64">
        <v>17140.2</v>
      </c>
      <c r="E145" s="209">
        <v>45118</v>
      </c>
      <c r="F145" s="214"/>
      <c r="G145" s="3"/>
      <c r="H145" s="23"/>
      <c r="I145" s="3"/>
      <c r="J145" s="3"/>
    </row>
    <row r="146" spans="1:10" s="6" customFormat="1" ht="12.75">
      <c r="A146" s="1">
        <v>142</v>
      </c>
      <c r="B146" s="1" t="s">
        <v>519</v>
      </c>
      <c r="C146" s="1" t="s">
        <v>372</v>
      </c>
      <c r="D146" s="64">
        <v>17067.78</v>
      </c>
      <c r="E146" s="209">
        <v>45153</v>
      </c>
      <c r="F146" s="214"/>
      <c r="G146" s="3"/>
      <c r="H146" s="23"/>
      <c r="I146" s="3"/>
      <c r="J146" s="3"/>
    </row>
    <row r="147" spans="1:10" s="6" customFormat="1" ht="12.75">
      <c r="A147" s="1">
        <v>143</v>
      </c>
      <c r="B147" s="1" t="s">
        <v>520</v>
      </c>
      <c r="C147" s="1" t="s">
        <v>374</v>
      </c>
      <c r="D147" s="64">
        <v>2579.64</v>
      </c>
      <c r="E147" s="209">
        <v>45254</v>
      </c>
      <c r="F147" s="214"/>
      <c r="G147" s="3"/>
      <c r="H147" s="23"/>
      <c r="I147" s="3"/>
      <c r="J147" s="3"/>
    </row>
    <row r="148" spans="1:10" s="6" customFormat="1" ht="12.75">
      <c r="A148" s="1">
        <v>144</v>
      </c>
      <c r="B148" s="1" t="s">
        <v>521</v>
      </c>
      <c r="C148" s="1" t="s">
        <v>429</v>
      </c>
      <c r="D148" s="64">
        <v>108000</v>
      </c>
      <c r="E148" s="209">
        <v>45086</v>
      </c>
      <c r="F148" s="214"/>
      <c r="G148" s="3"/>
      <c r="H148" s="23"/>
      <c r="I148" s="3"/>
      <c r="J148" s="3"/>
    </row>
    <row r="149" spans="1:10" s="6" customFormat="1" ht="12.75">
      <c r="A149" s="1">
        <v>145</v>
      </c>
      <c r="B149" s="1" t="s">
        <v>520</v>
      </c>
      <c r="C149" s="1" t="s">
        <v>386</v>
      </c>
      <c r="D149" s="64">
        <v>126334.8</v>
      </c>
      <c r="E149" s="209">
        <v>45278</v>
      </c>
      <c r="F149" s="214"/>
      <c r="G149" s="3"/>
      <c r="H149" s="23"/>
      <c r="I149" s="3"/>
      <c r="J149" s="3"/>
    </row>
    <row r="150" spans="1:10" s="6" customFormat="1" ht="12.75">
      <c r="A150" s="1">
        <v>146</v>
      </c>
      <c r="B150" s="1" t="s">
        <v>522</v>
      </c>
      <c r="C150" s="1" t="s">
        <v>384</v>
      </c>
      <c r="D150" s="64">
        <v>31500</v>
      </c>
      <c r="E150" s="209">
        <v>45135</v>
      </c>
      <c r="F150" s="214"/>
      <c r="G150" s="3"/>
      <c r="H150" s="23"/>
      <c r="I150" s="3"/>
      <c r="J150" s="3"/>
    </row>
    <row r="151" spans="1:10" s="6" customFormat="1" ht="12.75">
      <c r="A151" s="1">
        <v>147</v>
      </c>
      <c r="B151" s="1" t="s">
        <v>523</v>
      </c>
      <c r="C151" s="1" t="s">
        <v>386</v>
      </c>
      <c r="D151" s="64">
        <v>70122.98</v>
      </c>
      <c r="E151" s="209">
        <v>45198</v>
      </c>
      <c r="F151" s="214"/>
      <c r="G151" s="3"/>
      <c r="H151" s="23"/>
      <c r="I151" s="3"/>
      <c r="J151" s="3"/>
    </row>
    <row r="152" spans="1:10" s="6" customFormat="1" ht="12.75">
      <c r="A152" s="1">
        <v>148</v>
      </c>
      <c r="B152" s="1" t="s">
        <v>524</v>
      </c>
      <c r="C152" s="1" t="s">
        <v>525</v>
      </c>
      <c r="D152" s="64">
        <v>153685.35</v>
      </c>
      <c r="E152" s="209">
        <v>45128</v>
      </c>
      <c r="F152" s="214"/>
      <c r="G152" s="3"/>
      <c r="H152" s="23"/>
      <c r="I152" s="3"/>
      <c r="J152" s="3"/>
    </row>
    <row r="153" spans="1:10" s="6" customFormat="1" ht="12.75">
      <c r="A153" s="1">
        <v>149</v>
      </c>
      <c r="B153" s="1" t="s">
        <v>524</v>
      </c>
      <c r="C153" s="1" t="s">
        <v>386</v>
      </c>
      <c r="D153" s="64">
        <f>33075.88+40797.57</f>
        <v>73873.45</v>
      </c>
      <c r="E153" s="209">
        <v>45198</v>
      </c>
      <c r="F153" s="214"/>
      <c r="G153" s="3"/>
      <c r="H153" s="23"/>
      <c r="I153" s="3"/>
      <c r="J153" s="3"/>
    </row>
    <row r="154" spans="1:10" s="6" customFormat="1" ht="12.75">
      <c r="A154" s="1">
        <v>150</v>
      </c>
      <c r="B154" s="1" t="s">
        <v>526</v>
      </c>
      <c r="C154" s="1" t="s">
        <v>386</v>
      </c>
      <c r="D154" s="64">
        <v>70122.98</v>
      </c>
      <c r="E154" s="209">
        <v>45198</v>
      </c>
      <c r="F154" s="214"/>
      <c r="G154" s="3"/>
      <c r="H154" s="23"/>
      <c r="I154" s="3"/>
      <c r="J154" s="3"/>
    </row>
    <row r="155" spans="1:10" s="6" customFormat="1" ht="12.75">
      <c r="A155" s="1">
        <v>151</v>
      </c>
      <c r="B155" s="1" t="s">
        <v>527</v>
      </c>
      <c r="C155" s="1" t="s">
        <v>384</v>
      </c>
      <c r="D155" s="64">
        <v>40500</v>
      </c>
      <c r="E155" s="209">
        <v>45093</v>
      </c>
      <c r="F155" s="214"/>
      <c r="G155" s="3"/>
      <c r="H155" s="23"/>
      <c r="I155" s="3"/>
      <c r="J155" s="3"/>
    </row>
    <row r="156" spans="1:10" s="6" customFormat="1" ht="12.75">
      <c r="A156" s="1">
        <v>152</v>
      </c>
      <c r="B156" s="1" t="s">
        <v>528</v>
      </c>
      <c r="C156" s="1" t="s">
        <v>384</v>
      </c>
      <c r="D156" s="64">
        <v>43000</v>
      </c>
      <c r="E156" s="209">
        <v>45122</v>
      </c>
      <c r="F156" s="214"/>
      <c r="G156" s="3"/>
      <c r="H156" s="23"/>
      <c r="I156" s="3"/>
      <c r="J156" s="3"/>
    </row>
    <row r="157" spans="1:10" s="6" customFormat="1" ht="12.75">
      <c r="A157" s="1">
        <v>153</v>
      </c>
      <c r="B157" s="1" t="s">
        <v>529</v>
      </c>
      <c r="C157" s="1" t="s">
        <v>429</v>
      </c>
      <c r="D157" s="64">
        <v>200000</v>
      </c>
      <c r="E157" s="209">
        <v>45036</v>
      </c>
      <c r="F157" s="214"/>
      <c r="G157" s="3"/>
      <c r="H157" s="23"/>
      <c r="I157" s="3"/>
      <c r="J157" s="3"/>
    </row>
    <row r="158" spans="1:10" s="6" customFormat="1" ht="14.25" customHeight="1">
      <c r="A158" s="1">
        <v>154</v>
      </c>
      <c r="B158" s="1" t="s">
        <v>530</v>
      </c>
      <c r="C158" s="1" t="s">
        <v>372</v>
      </c>
      <c r="D158" s="64">
        <v>14011.8</v>
      </c>
      <c r="E158" s="209">
        <v>45118</v>
      </c>
      <c r="F158" s="214"/>
      <c r="G158" s="3"/>
      <c r="H158" s="23"/>
      <c r="I158" s="3"/>
      <c r="J158" s="3"/>
    </row>
    <row r="159" spans="1:10" s="6" customFormat="1" ht="14.25" customHeight="1">
      <c r="A159" s="1">
        <v>155</v>
      </c>
      <c r="B159" s="1" t="s">
        <v>531</v>
      </c>
      <c r="C159" s="1" t="s">
        <v>532</v>
      </c>
      <c r="D159" s="64">
        <v>20000</v>
      </c>
      <c r="E159" s="209">
        <v>44942</v>
      </c>
      <c r="F159" s="214"/>
      <c r="G159" s="3"/>
      <c r="H159" s="23"/>
      <c r="I159" s="3"/>
      <c r="J159" s="3"/>
    </row>
    <row r="160" spans="1:10" s="6" customFormat="1" ht="12.75">
      <c r="A160" s="1">
        <v>156</v>
      </c>
      <c r="B160" s="1" t="s">
        <v>531</v>
      </c>
      <c r="C160" s="1" t="s">
        <v>372</v>
      </c>
      <c r="D160" s="64">
        <v>12999.6</v>
      </c>
      <c r="E160" s="209">
        <v>45118</v>
      </c>
      <c r="F160" s="214"/>
      <c r="G160" s="3"/>
      <c r="H160" s="23"/>
      <c r="I160" s="3"/>
      <c r="J160" s="3"/>
    </row>
    <row r="161" spans="1:10" s="6" customFormat="1" ht="12.75">
      <c r="A161" s="1">
        <v>157</v>
      </c>
      <c r="B161" s="1" t="s">
        <v>533</v>
      </c>
      <c r="C161" s="1" t="s">
        <v>391</v>
      </c>
      <c r="D161" s="64">
        <f>582041.09+296026.7</f>
        <v>878067.79</v>
      </c>
      <c r="E161" s="209">
        <v>45100</v>
      </c>
      <c r="F161" s="214"/>
      <c r="G161" s="3"/>
      <c r="H161" s="23"/>
      <c r="I161" s="3"/>
      <c r="J161" s="3"/>
    </row>
    <row r="162" spans="1:10" s="6" customFormat="1" ht="12.75">
      <c r="A162" s="1">
        <v>158</v>
      </c>
      <c r="B162" s="1" t="s">
        <v>533</v>
      </c>
      <c r="C162" s="1" t="s">
        <v>386</v>
      </c>
      <c r="D162" s="64">
        <v>73224.34</v>
      </c>
      <c r="E162" s="209">
        <v>45198</v>
      </c>
      <c r="F162" s="214"/>
      <c r="G162" s="3"/>
      <c r="H162" s="23"/>
      <c r="I162" s="3"/>
      <c r="J162" s="3"/>
    </row>
    <row r="163" spans="1:10" s="6" customFormat="1" ht="12.75">
      <c r="A163" s="1">
        <v>159</v>
      </c>
      <c r="B163" s="1" t="s">
        <v>534</v>
      </c>
      <c r="C163" s="1" t="s">
        <v>384</v>
      </c>
      <c r="D163" s="64">
        <f>153058.78+89941.22</f>
        <v>243000</v>
      </c>
      <c r="E163" s="209">
        <v>45008</v>
      </c>
      <c r="F163" s="214"/>
      <c r="G163" s="3"/>
      <c r="H163" s="23"/>
      <c r="I163" s="3"/>
      <c r="J163" s="3"/>
    </row>
    <row r="164" spans="1:10" s="6" customFormat="1" ht="12.75">
      <c r="A164" s="1">
        <v>160</v>
      </c>
      <c r="B164" s="1" t="s">
        <v>534</v>
      </c>
      <c r="C164" s="1" t="s">
        <v>372</v>
      </c>
      <c r="D164" s="64">
        <v>17401.8</v>
      </c>
      <c r="E164" s="209">
        <v>45118</v>
      </c>
      <c r="F164" s="214"/>
      <c r="G164" s="3"/>
      <c r="H164" s="23"/>
      <c r="I164" s="3"/>
      <c r="J164" s="3"/>
    </row>
    <row r="165" spans="1:10" s="6" customFormat="1" ht="12.75">
      <c r="A165" s="1">
        <v>161</v>
      </c>
      <c r="B165" s="1" t="s">
        <v>535</v>
      </c>
      <c r="C165" s="1" t="s">
        <v>372</v>
      </c>
      <c r="D165" s="64">
        <v>18289.2</v>
      </c>
      <c r="E165" s="209">
        <v>45118</v>
      </c>
      <c r="F165" s="214"/>
      <c r="G165" s="3"/>
      <c r="H165" s="23"/>
      <c r="I165" s="3"/>
      <c r="J165" s="3"/>
    </row>
    <row r="166" spans="1:10" s="6" customFormat="1" ht="12.75">
      <c r="A166" s="1">
        <v>162</v>
      </c>
      <c r="B166" s="1" t="s">
        <v>536</v>
      </c>
      <c r="C166" s="1" t="s">
        <v>429</v>
      </c>
      <c r="D166" s="64">
        <f>145430.41+34569.59</f>
        <v>180000</v>
      </c>
      <c r="E166" s="209">
        <v>45040</v>
      </c>
      <c r="F166" s="214"/>
      <c r="G166" s="3"/>
      <c r="H166" s="23"/>
      <c r="I166" s="3"/>
      <c r="J166" s="3"/>
    </row>
    <row r="167" spans="1:10" s="6" customFormat="1" ht="12.75">
      <c r="A167" s="1">
        <v>163</v>
      </c>
      <c r="B167" s="1" t="s">
        <v>537</v>
      </c>
      <c r="C167" s="1" t="s">
        <v>380</v>
      </c>
      <c r="D167" s="64">
        <v>3437</v>
      </c>
      <c r="E167" s="209">
        <v>45002</v>
      </c>
      <c r="F167" s="214"/>
      <c r="G167" s="3"/>
      <c r="H167" s="23"/>
      <c r="I167" s="3"/>
      <c r="J167" s="3"/>
    </row>
    <row r="168" spans="1:10" s="6" customFormat="1" ht="12.75">
      <c r="A168" s="1">
        <v>164</v>
      </c>
      <c r="B168" s="1" t="s">
        <v>538</v>
      </c>
      <c r="C168" s="1" t="s">
        <v>429</v>
      </c>
      <c r="D168" s="64">
        <v>416765.68</v>
      </c>
      <c r="E168" s="209">
        <v>45198</v>
      </c>
      <c r="F168" s="214"/>
      <c r="G168" s="3"/>
      <c r="H168" s="23"/>
      <c r="I168" s="3"/>
      <c r="J168" s="3"/>
    </row>
    <row r="169" spans="1:10" s="6" customFormat="1" ht="12.75">
      <c r="A169" s="1">
        <v>165</v>
      </c>
      <c r="B169" s="1" t="s">
        <v>539</v>
      </c>
      <c r="C169" s="1" t="s">
        <v>540</v>
      </c>
      <c r="D169" s="64">
        <f>53328.59+54292.17</f>
        <v>107620.76</v>
      </c>
      <c r="E169" s="209">
        <v>45142</v>
      </c>
      <c r="F169" s="214"/>
      <c r="G169" s="3"/>
      <c r="H169" s="23"/>
      <c r="I169" s="3"/>
      <c r="J169" s="3"/>
    </row>
    <row r="170" spans="1:10" s="6" customFormat="1" ht="12.75">
      <c r="A170" s="1">
        <v>166</v>
      </c>
      <c r="B170" s="1" t="s">
        <v>541</v>
      </c>
      <c r="C170" s="1" t="s">
        <v>384</v>
      </c>
      <c r="D170" s="64">
        <v>38500</v>
      </c>
      <c r="E170" s="209">
        <v>45243</v>
      </c>
      <c r="F170" s="214"/>
      <c r="G170" s="3"/>
      <c r="H170" s="23"/>
      <c r="I170" s="3"/>
      <c r="J170" s="3"/>
    </row>
    <row r="171" spans="1:10" s="6" customFormat="1" ht="12.75">
      <c r="A171" s="1">
        <v>167</v>
      </c>
      <c r="B171" s="1" t="s">
        <v>542</v>
      </c>
      <c r="C171" s="1" t="s">
        <v>386</v>
      </c>
      <c r="D171" s="64">
        <v>13397.63</v>
      </c>
      <c r="E171" s="209">
        <v>45278</v>
      </c>
      <c r="F171" s="214"/>
      <c r="G171" s="3"/>
      <c r="H171" s="23"/>
      <c r="I171" s="3"/>
      <c r="J171" s="3"/>
    </row>
    <row r="172" spans="1:10" s="6" customFormat="1" ht="12.75">
      <c r="A172" s="1">
        <v>168</v>
      </c>
      <c r="B172" s="1" t="s">
        <v>543</v>
      </c>
      <c r="C172" s="1" t="s">
        <v>544</v>
      </c>
      <c r="D172" s="64">
        <v>7258</v>
      </c>
      <c r="E172" s="209">
        <v>45016</v>
      </c>
      <c r="F172" s="214"/>
      <c r="G172" s="3"/>
      <c r="H172" s="23"/>
      <c r="I172" s="3"/>
      <c r="J172" s="3"/>
    </row>
    <row r="173" spans="1:10" s="6" customFormat="1" ht="12.75">
      <c r="A173" s="1">
        <v>169</v>
      </c>
      <c r="B173" s="1" t="s">
        <v>545</v>
      </c>
      <c r="C173" s="1" t="s">
        <v>372</v>
      </c>
      <c r="D173" s="64">
        <v>4124.2</v>
      </c>
      <c r="E173" s="209">
        <v>45118</v>
      </c>
      <c r="F173" s="214"/>
      <c r="G173" s="3"/>
      <c r="H173" s="23"/>
      <c r="I173" s="3"/>
      <c r="J173" s="3"/>
    </row>
    <row r="174" spans="1:10" s="6" customFormat="1" ht="12.75">
      <c r="A174" s="1">
        <v>170</v>
      </c>
      <c r="B174" s="1" t="s">
        <v>546</v>
      </c>
      <c r="C174" s="1" t="s">
        <v>384</v>
      </c>
      <c r="D174" s="64">
        <v>53000</v>
      </c>
      <c r="E174" s="209">
        <v>45093</v>
      </c>
      <c r="F174" s="214"/>
      <c r="G174" s="3"/>
      <c r="H174" s="23"/>
      <c r="I174" s="3"/>
      <c r="J174" s="3"/>
    </row>
    <row r="175" spans="1:10" s="6" customFormat="1" ht="12.75">
      <c r="A175" s="1">
        <v>171</v>
      </c>
      <c r="B175" s="1" t="s">
        <v>547</v>
      </c>
      <c r="C175" s="1" t="s">
        <v>386</v>
      </c>
      <c r="D175" s="64">
        <v>69473.87</v>
      </c>
      <c r="E175" s="209">
        <v>45278</v>
      </c>
      <c r="F175" s="214"/>
      <c r="G175" s="3"/>
      <c r="H175" s="23"/>
      <c r="I175" s="3"/>
      <c r="J175" s="3"/>
    </row>
    <row r="176" spans="1:10" s="6" customFormat="1" ht="12.75">
      <c r="A176" s="1">
        <v>172</v>
      </c>
      <c r="B176" s="1" t="s">
        <v>548</v>
      </c>
      <c r="C176" s="1" t="s">
        <v>380</v>
      </c>
      <c r="D176" s="64">
        <v>3450</v>
      </c>
      <c r="E176" s="209">
        <v>44988</v>
      </c>
      <c r="F176" s="214"/>
      <c r="G176" s="3"/>
      <c r="H176" s="23"/>
      <c r="I176" s="3"/>
      <c r="J176" s="3"/>
    </row>
    <row r="177" spans="1:10" s="6" customFormat="1" ht="12.75">
      <c r="A177" s="1">
        <v>173</v>
      </c>
      <c r="B177" s="1" t="s">
        <v>549</v>
      </c>
      <c r="C177" s="1" t="s">
        <v>386</v>
      </c>
      <c r="D177" s="64">
        <v>27912.97</v>
      </c>
      <c r="E177" s="209">
        <v>45278</v>
      </c>
      <c r="F177" s="214"/>
      <c r="G177" s="3"/>
      <c r="H177" s="23"/>
      <c r="I177" s="3"/>
      <c r="J177" s="3"/>
    </row>
    <row r="178" spans="1:10" s="6" customFormat="1" ht="12.75">
      <c r="A178" s="1">
        <v>174</v>
      </c>
      <c r="B178" s="1" t="s">
        <v>550</v>
      </c>
      <c r="C178" s="1" t="s">
        <v>372</v>
      </c>
      <c r="D178" s="64">
        <v>4721.8</v>
      </c>
      <c r="E178" s="209">
        <v>45118</v>
      </c>
      <c r="F178" s="214"/>
      <c r="G178" s="3"/>
      <c r="H178" s="23"/>
      <c r="I178" s="3"/>
      <c r="J178" s="3"/>
    </row>
    <row r="179" spans="1:10" s="6" customFormat="1" ht="12.75">
      <c r="A179" s="1">
        <v>175</v>
      </c>
      <c r="B179" s="1" t="s">
        <v>551</v>
      </c>
      <c r="C179" s="1" t="s">
        <v>429</v>
      </c>
      <c r="D179" s="64">
        <f>2722.2+3977.8</f>
        <v>6700</v>
      </c>
      <c r="E179" s="209">
        <v>44971</v>
      </c>
      <c r="F179" s="214"/>
      <c r="G179" s="3"/>
      <c r="H179" s="23"/>
      <c r="I179" s="3"/>
      <c r="J179" s="3"/>
    </row>
    <row r="180" spans="1:10" s="6" customFormat="1" ht="12.75">
      <c r="A180" s="1">
        <v>176</v>
      </c>
      <c r="B180" s="1" t="s">
        <v>552</v>
      </c>
      <c r="C180" s="1" t="s">
        <v>380</v>
      </c>
      <c r="D180" s="64">
        <v>5401</v>
      </c>
      <c r="E180" s="209">
        <v>44988</v>
      </c>
      <c r="F180" s="214"/>
      <c r="G180" s="3"/>
      <c r="H180" s="23"/>
      <c r="I180" s="3"/>
      <c r="J180" s="3"/>
    </row>
    <row r="181" spans="1:10" s="6" customFormat="1" ht="12.75">
      <c r="A181" s="1">
        <v>177</v>
      </c>
      <c r="B181" s="1" t="s">
        <v>553</v>
      </c>
      <c r="C181" s="1" t="s">
        <v>429</v>
      </c>
      <c r="D181" s="64">
        <v>129600.1</v>
      </c>
      <c r="E181" s="209">
        <v>45097</v>
      </c>
      <c r="F181" s="214"/>
      <c r="G181" s="3"/>
      <c r="H181" s="23"/>
      <c r="I181" s="3"/>
      <c r="J181" s="3"/>
    </row>
    <row r="182" spans="1:10" s="6" customFormat="1" ht="12.75">
      <c r="A182" s="1">
        <v>178</v>
      </c>
      <c r="B182" s="1" t="s">
        <v>554</v>
      </c>
      <c r="C182" s="1" t="s">
        <v>374</v>
      </c>
      <c r="D182" s="64">
        <v>2579.64</v>
      </c>
      <c r="E182" s="209">
        <v>45019</v>
      </c>
      <c r="F182" s="214"/>
      <c r="G182" s="3"/>
      <c r="H182" s="23"/>
      <c r="I182" s="3"/>
      <c r="J182" s="3"/>
    </row>
    <row r="183" spans="1:10" s="6" customFormat="1" ht="12.75">
      <c r="A183" s="1">
        <v>179</v>
      </c>
      <c r="B183" s="1" t="s">
        <v>555</v>
      </c>
      <c r="C183" s="1" t="s">
        <v>556</v>
      </c>
      <c r="D183" s="64">
        <v>5100</v>
      </c>
      <c r="E183" s="209">
        <v>45072</v>
      </c>
      <c r="F183" s="214"/>
      <c r="G183" s="3"/>
      <c r="H183" s="23"/>
      <c r="I183" s="3"/>
      <c r="J183" s="3"/>
    </row>
    <row r="184" spans="1:10" s="6" customFormat="1" ht="12.75">
      <c r="A184" s="1">
        <v>180</v>
      </c>
      <c r="B184" s="1" t="s">
        <v>555</v>
      </c>
      <c r="C184" s="1" t="s">
        <v>557</v>
      </c>
      <c r="D184" s="64">
        <v>1000</v>
      </c>
      <c r="E184" s="209">
        <v>45096</v>
      </c>
      <c r="F184" s="214"/>
      <c r="G184" s="3"/>
      <c r="H184" s="23"/>
      <c r="I184" s="3"/>
      <c r="J184" s="3"/>
    </row>
    <row r="185" spans="1:10" s="6" customFormat="1" ht="12.75">
      <c r="A185" s="1">
        <v>181</v>
      </c>
      <c r="B185" s="1" t="s">
        <v>558</v>
      </c>
      <c r="C185" s="1" t="s">
        <v>374</v>
      </c>
      <c r="D185" s="64">
        <v>2579.64</v>
      </c>
      <c r="E185" s="209">
        <v>45247</v>
      </c>
      <c r="F185" s="214"/>
      <c r="G185" s="3"/>
      <c r="H185" s="23"/>
      <c r="I185" s="3"/>
      <c r="J185" s="3"/>
    </row>
    <row r="186" spans="1:10" s="6" customFormat="1" ht="12.75">
      <c r="A186" s="1">
        <v>182</v>
      </c>
      <c r="B186" s="1" t="s">
        <v>559</v>
      </c>
      <c r="C186" s="1" t="s">
        <v>374</v>
      </c>
      <c r="D186" s="64">
        <v>2579.64</v>
      </c>
      <c r="E186" s="209">
        <v>45156</v>
      </c>
      <c r="F186" s="214"/>
      <c r="G186" s="3"/>
      <c r="H186" s="23"/>
      <c r="I186" s="3"/>
      <c r="J186" s="3"/>
    </row>
    <row r="187" spans="1:10" s="6" customFormat="1" ht="12.75">
      <c r="A187" s="1">
        <v>183</v>
      </c>
      <c r="B187" s="1" t="s">
        <v>560</v>
      </c>
      <c r="C187" s="1" t="s">
        <v>380</v>
      </c>
      <c r="D187" s="64">
        <v>5601</v>
      </c>
      <c r="E187" s="209">
        <v>44974</v>
      </c>
      <c r="F187" s="214"/>
      <c r="G187" s="3"/>
      <c r="H187" s="23"/>
      <c r="I187" s="3"/>
      <c r="J187" s="3"/>
    </row>
    <row r="188" spans="1:10" s="6" customFormat="1" ht="12.75">
      <c r="A188" s="1">
        <v>184</v>
      </c>
      <c r="B188" s="1" t="s">
        <v>561</v>
      </c>
      <c r="C188" s="1" t="s">
        <v>374</v>
      </c>
      <c r="D188" s="64">
        <v>2579.64</v>
      </c>
      <c r="E188" s="209">
        <v>45254</v>
      </c>
      <c r="F188" s="214"/>
      <c r="G188" s="3"/>
      <c r="H188" s="23"/>
      <c r="I188" s="3"/>
      <c r="J188" s="3"/>
    </row>
    <row r="189" spans="1:10" s="6" customFormat="1" ht="12.75">
      <c r="A189" s="1">
        <v>185</v>
      </c>
      <c r="B189" s="1" t="s">
        <v>562</v>
      </c>
      <c r="C189" s="1" t="s">
        <v>380</v>
      </c>
      <c r="D189" s="64">
        <v>5614</v>
      </c>
      <c r="E189" s="209">
        <v>45015</v>
      </c>
      <c r="F189" s="214"/>
      <c r="G189" s="3"/>
      <c r="H189" s="23"/>
      <c r="I189" s="3"/>
      <c r="J189" s="3"/>
    </row>
    <row r="190" spans="1:10" s="6" customFormat="1" ht="12.75">
      <c r="A190" s="1">
        <v>186</v>
      </c>
      <c r="B190" s="1" t="s">
        <v>563</v>
      </c>
      <c r="C190" s="1" t="s">
        <v>374</v>
      </c>
      <c r="D190" s="64">
        <v>2189.64</v>
      </c>
      <c r="E190" s="209">
        <v>45083</v>
      </c>
      <c r="F190" s="214"/>
      <c r="G190" s="3"/>
      <c r="H190" s="23"/>
      <c r="I190" s="3"/>
      <c r="J190" s="3"/>
    </row>
    <row r="191" spans="1:10" s="6" customFormat="1" ht="12.75">
      <c r="A191" s="1">
        <v>187</v>
      </c>
      <c r="B191" s="1" t="s">
        <v>564</v>
      </c>
      <c r="C191" s="1" t="s">
        <v>374</v>
      </c>
      <c r="D191" s="64">
        <v>2619.39</v>
      </c>
      <c r="E191" s="209">
        <v>44943</v>
      </c>
      <c r="F191" s="214"/>
      <c r="G191" s="3"/>
      <c r="H191" s="23"/>
      <c r="I191" s="3"/>
      <c r="J191" s="3"/>
    </row>
    <row r="192" spans="1:10" s="6" customFormat="1" ht="12.75">
      <c r="A192" s="1">
        <v>188</v>
      </c>
      <c r="B192" s="1" t="s">
        <v>564</v>
      </c>
      <c r="C192" s="1" t="s">
        <v>372</v>
      </c>
      <c r="D192" s="64">
        <v>1644.6</v>
      </c>
      <c r="E192" s="209">
        <v>45118</v>
      </c>
      <c r="F192" s="214"/>
      <c r="G192" s="3"/>
      <c r="H192" s="23"/>
      <c r="I192" s="3"/>
      <c r="J192" s="3"/>
    </row>
    <row r="193" spans="1:10" s="6" customFormat="1" ht="12.75">
      <c r="A193" s="1">
        <v>189</v>
      </c>
      <c r="B193" s="1" t="s">
        <v>565</v>
      </c>
      <c r="C193" s="1" t="s">
        <v>372</v>
      </c>
      <c r="D193" s="64">
        <v>22623.31</v>
      </c>
      <c r="E193" s="209">
        <v>45153</v>
      </c>
      <c r="F193" s="214"/>
      <c r="G193" s="3"/>
      <c r="H193" s="23"/>
      <c r="I193" s="3"/>
      <c r="J193" s="3"/>
    </row>
    <row r="194" spans="1:10" s="6" customFormat="1" ht="12.75">
      <c r="A194" s="1">
        <v>190</v>
      </c>
      <c r="B194" s="1" t="s">
        <v>566</v>
      </c>
      <c r="C194" s="1" t="s">
        <v>386</v>
      </c>
      <c r="D194" s="64">
        <v>36948.98</v>
      </c>
      <c r="E194" s="209">
        <v>45278</v>
      </c>
      <c r="F194" s="214"/>
      <c r="G194" s="3"/>
      <c r="H194" s="23"/>
      <c r="I194" s="3"/>
      <c r="J194" s="3"/>
    </row>
    <row r="195" spans="1:10" s="6" customFormat="1" ht="12.75">
      <c r="A195" s="1">
        <v>191</v>
      </c>
      <c r="B195" s="1" t="s">
        <v>567</v>
      </c>
      <c r="C195" s="1" t="s">
        <v>413</v>
      </c>
      <c r="D195" s="64">
        <f>30697.31+187759.92</f>
        <v>218457.23</v>
      </c>
      <c r="E195" s="209">
        <v>45128</v>
      </c>
      <c r="F195" s="214"/>
      <c r="G195" s="3"/>
      <c r="H195" s="23"/>
      <c r="I195" s="3"/>
      <c r="J195" s="3"/>
    </row>
    <row r="196" spans="1:10" s="6" customFormat="1" ht="12.75">
      <c r="A196" s="1">
        <v>192</v>
      </c>
      <c r="B196" s="1" t="s">
        <v>568</v>
      </c>
      <c r="C196" s="1" t="s">
        <v>417</v>
      </c>
      <c r="D196" s="64">
        <v>2503.4</v>
      </c>
      <c r="E196" s="209">
        <v>44943</v>
      </c>
      <c r="F196" s="214"/>
      <c r="G196" s="3"/>
      <c r="H196" s="23"/>
      <c r="I196" s="3"/>
      <c r="J196" s="3"/>
    </row>
    <row r="197" spans="1:10" s="6" customFormat="1" ht="12.75">
      <c r="A197" s="1">
        <v>193</v>
      </c>
      <c r="B197" s="1" t="s">
        <v>568</v>
      </c>
      <c r="C197" s="1" t="s">
        <v>398</v>
      </c>
      <c r="D197" s="64">
        <v>24000.48</v>
      </c>
      <c r="E197" s="209">
        <v>44860</v>
      </c>
      <c r="F197" s="214"/>
      <c r="G197" s="3"/>
      <c r="H197" s="23"/>
      <c r="I197" s="3"/>
      <c r="J197" s="3"/>
    </row>
    <row r="198" spans="1:10" s="6" customFormat="1" ht="12.75">
      <c r="A198" s="1">
        <v>194</v>
      </c>
      <c r="B198" s="1" t="s">
        <v>569</v>
      </c>
      <c r="C198" s="1" t="s">
        <v>429</v>
      </c>
      <c r="D198" s="64">
        <f>37562.71+105922.77</f>
        <v>143485.48</v>
      </c>
      <c r="E198" s="209">
        <v>45156</v>
      </c>
      <c r="F198" s="214"/>
      <c r="G198" s="3"/>
      <c r="H198" s="23"/>
      <c r="I198" s="3"/>
      <c r="J198" s="3"/>
    </row>
    <row r="199" spans="1:10" s="6" customFormat="1" ht="12.75">
      <c r="A199" s="1">
        <v>195</v>
      </c>
      <c r="B199" s="1" t="s">
        <v>570</v>
      </c>
      <c r="C199" s="1" t="s">
        <v>571</v>
      </c>
      <c r="D199" s="64">
        <v>1539</v>
      </c>
      <c r="E199" s="209">
        <v>44985</v>
      </c>
      <c r="F199" s="214"/>
      <c r="G199" s="3"/>
      <c r="H199" s="23"/>
      <c r="I199" s="3"/>
      <c r="J199" s="3"/>
    </row>
    <row r="200" spans="1:10" s="6" customFormat="1" ht="12.75">
      <c r="A200" s="1"/>
      <c r="B200" s="32" t="s">
        <v>572</v>
      </c>
      <c r="C200" s="32"/>
      <c r="D200" s="9">
        <f>SUM(D5:D199)</f>
        <v>12865690.670000006</v>
      </c>
      <c r="E200" s="212"/>
      <c r="F200" s="214"/>
      <c r="G200" s="3"/>
      <c r="H200" s="23"/>
      <c r="I200" s="3"/>
      <c r="J200" s="3"/>
    </row>
    <row r="201" s="6" customFormat="1" ht="12.75"/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C790"/>
  <sheetViews>
    <sheetView view="pageBreakPreview" zoomScaleSheetLayoutView="100" workbookViewId="0" topLeftCell="A1">
      <pane xSplit="2" ySplit="7" topLeftCell="I8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Z7" sqref="Z7:Z8"/>
    </sheetView>
  </sheetViews>
  <sheetFormatPr defaultColWidth="9.140625" defaultRowHeight="12.75"/>
  <cols>
    <col min="1" max="1" width="6.421875" style="6" customWidth="1"/>
    <col min="2" max="2" width="49.140625" style="6" customWidth="1"/>
    <col min="3" max="3" width="15.7109375" style="6" customWidth="1"/>
    <col min="4" max="4" width="12.140625" style="6" customWidth="1"/>
    <col min="5" max="5" width="12.7109375" style="6" customWidth="1"/>
    <col min="6" max="6" width="15.8515625" style="13" customWidth="1"/>
    <col min="7" max="7" width="14.28125" style="6" customWidth="1"/>
    <col min="8" max="8" width="16.421875" style="6" customWidth="1"/>
    <col min="9" max="9" width="15.8515625" style="6" customWidth="1"/>
    <col min="10" max="10" width="18.140625" style="6" customWidth="1"/>
    <col min="11" max="11" width="15.57421875" style="6" customWidth="1"/>
    <col min="12" max="12" width="20.421875" style="6" customWidth="1"/>
    <col min="13" max="13" width="9.57421875" style="6" hidden="1" customWidth="1"/>
    <col min="14" max="14" width="17.140625" style="6" hidden="1" customWidth="1"/>
    <col min="15" max="15" width="0" style="6" hidden="1" customWidth="1"/>
    <col min="16" max="16" width="15.28125" style="6" hidden="1" customWidth="1"/>
    <col min="17" max="17" width="7.140625" style="6" hidden="1" customWidth="1"/>
    <col min="18" max="18" width="15.421875" style="6" hidden="1" customWidth="1"/>
    <col min="19" max="19" width="7.57421875" style="6" hidden="1" customWidth="1"/>
    <col min="20" max="20" width="16.8515625" style="6" hidden="1" customWidth="1"/>
    <col min="21" max="21" width="8.28125" style="6" hidden="1" customWidth="1"/>
    <col min="22" max="22" width="16.00390625" style="6" hidden="1" customWidth="1"/>
    <col min="23" max="23" width="8.28125" style="6" hidden="1" customWidth="1"/>
    <col min="24" max="24" width="15.7109375" style="6" hidden="1" customWidth="1"/>
    <col min="25" max="25" width="18.57421875" style="6" hidden="1" customWidth="1"/>
    <col min="26" max="26" width="19.00390625" style="6" customWidth="1"/>
    <col min="27" max="27" width="10.57421875" style="6" customWidth="1"/>
    <col min="28" max="28" width="22.28125" style="6" customWidth="1"/>
    <col min="29" max="29" width="13.8515625" style="22" customWidth="1"/>
    <col min="30" max="30" width="22.28125" style="53" customWidth="1"/>
    <col min="31" max="31" width="18.8515625" style="6" customWidth="1"/>
    <col min="32" max="32" width="15.28125" style="6" customWidth="1"/>
    <col min="33" max="33" width="14.421875" style="6" customWidth="1"/>
    <col min="34" max="34" width="15.28125" style="53" customWidth="1"/>
    <col min="35" max="35" width="16.8515625" style="53" customWidth="1"/>
    <col min="36" max="36" width="20.28125" style="61" customWidth="1"/>
    <col min="37" max="37" width="18.421875" style="55" customWidth="1"/>
    <col min="38" max="38" width="13.7109375" style="0" customWidth="1"/>
    <col min="39" max="39" width="14.140625" style="0" customWidth="1"/>
    <col min="40" max="40" width="15.140625" style="189" customWidth="1"/>
    <col min="41" max="41" width="13.8515625" style="189" customWidth="1"/>
    <col min="42" max="42" width="14.28125" style="0" customWidth="1"/>
    <col min="43" max="43" width="13.8515625" style="0" customWidth="1"/>
    <col min="44" max="44" width="13.7109375" style="0" customWidth="1"/>
    <col min="45" max="45" width="14.00390625" style="0" customWidth="1"/>
    <col min="46" max="47" width="14.7109375" style="0" customWidth="1"/>
    <col min="48" max="48" width="13.7109375" style="0" customWidth="1"/>
    <col min="49" max="49" width="16.28125" style="0" customWidth="1"/>
    <col min="50" max="50" width="16.140625" style="0" customWidth="1"/>
    <col min="51" max="51" width="14.7109375" style="0" customWidth="1"/>
    <col min="52" max="52" width="15.57421875" style="0" customWidth="1"/>
    <col min="53" max="53" width="14.28125" style="0" customWidth="1"/>
    <col min="54" max="54" width="14.8515625" style="0" customWidth="1"/>
    <col min="55" max="55" width="14.7109375" style="0" customWidth="1"/>
    <col min="56" max="56" width="16.57421875" style="0" customWidth="1"/>
    <col min="57" max="57" width="16.421875" style="0" customWidth="1"/>
    <col min="58" max="58" width="14.7109375" style="0" customWidth="1"/>
    <col min="59" max="59" width="13.57421875" style="0" customWidth="1"/>
    <col min="60" max="60" width="16.00390625" style="0" customWidth="1"/>
    <col min="61" max="61" width="15.140625" style="0" customWidth="1"/>
    <col min="62" max="62" width="17.28125" style="0" customWidth="1"/>
    <col min="63" max="63" width="17.00390625" style="0" customWidth="1"/>
    <col min="64" max="64" width="16.140625" style="156" customWidth="1"/>
    <col min="65" max="65" width="13.57421875" style="156" customWidth="1"/>
    <col min="66" max="66" width="18.421875" style="156" customWidth="1"/>
    <col min="67" max="68" width="13.57421875" style="156" customWidth="1"/>
    <col min="69" max="69" width="15.00390625" style="174" hidden="1" customWidth="1"/>
    <col min="70" max="70" width="19.140625" style="150" customWidth="1"/>
    <col min="71" max="71" width="17.7109375" style="0" customWidth="1"/>
    <col min="72" max="72" width="17.7109375" style="202" customWidth="1"/>
    <col min="73" max="73" width="22.7109375" style="6" customWidth="1"/>
    <col min="74" max="74" width="23.7109375" style="6" customWidth="1"/>
    <col min="75" max="75" width="44.28125" style="6" customWidth="1"/>
    <col min="76" max="76" width="16.140625" style="6" customWidth="1"/>
    <col min="77" max="77" width="19.7109375" style="6" customWidth="1"/>
    <col min="78" max="78" width="25.421875" style="6" customWidth="1"/>
    <col min="79" max="111" width="9.140625" style="6" customWidth="1"/>
  </cols>
  <sheetData>
    <row r="2" spans="2:72" ht="29.25" customHeight="1" thickBot="1">
      <c r="B2" s="14" t="s">
        <v>339</v>
      </c>
      <c r="F2" s="50"/>
      <c r="I2" s="28"/>
      <c r="AF2" s="53"/>
      <c r="AG2" s="53"/>
      <c r="AH2" s="54"/>
      <c r="AJ2" s="76"/>
      <c r="BL2" s="5"/>
      <c r="BM2" s="5"/>
      <c r="BN2" s="5"/>
      <c r="BO2" s="5"/>
      <c r="BP2" s="5"/>
      <c r="BQ2" s="33"/>
      <c r="BT2" s="5"/>
    </row>
    <row r="3" spans="1:74" ht="19.5" customHeight="1" thickTop="1">
      <c r="A3" s="29"/>
      <c r="B3" s="29"/>
      <c r="C3" s="127"/>
      <c r="D3" s="30"/>
      <c r="E3" s="70"/>
      <c r="F3" s="118"/>
      <c r="G3" s="29"/>
      <c r="H3" s="119"/>
      <c r="I3" s="29"/>
      <c r="J3" s="29"/>
      <c r="K3" s="29"/>
      <c r="L3" s="120"/>
      <c r="M3" s="255" t="s">
        <v>344</v>
      </c>
      <c r="N3" s="249"/>
      <c r="O3" s="249" t="s">
        <v>345</v>
      </c>
      <c r="P3" s="249"/>
      <c r="Q3" s="249" t="s">
        <v>318</v>
      </c>
      <c r="R3" s="249"/>
      <c r="S3" s="249" t="s">
        <v>342</v>
      </c>
      <c r="T3" s="249"/>
      <c r="U3" s="249" t="s">
        <v>317</v>
      </c>
      <c r="V3" s="249"/>
      <c r="W3" s="249" t="s">
        <v>346</v>
      </c>
      <c r="X3" s="250"/>
      <c r="Y3" s="99" t="s">
        <v>349</v>
      </c>
      <c r="Z3" s="136"/>
      <c r="AA3" s="29"/>
      <c r="AB3" s="137" t="s">
        <v>287</v>
      </c>
      <c r="AC3" s="138"/>
      <c r="AD3" s="139" t="s">
        <v>287</v>
      </c>
      <c r="AE3" s="253"/>
      <c r="AF3" s="142"/>
      <c r="AG3" s="142"/>
      <c r="AH3" s="142"/>
      <c r="AI3" s="142"/>
      <c r="AJ3" s="116"/>
      <c r="AK3" s="69"/>
      <c r="AL3" s="238" t="s">
        <v>333</v>
      </c>
      <c r="AM3" s="238"/>
      <c r="AN3" s="260" t="s">
        <v>333</v>
      </c>
      <c r="AO3" s="260"/>
      <c r="AP3" s="238" t="s">
        <v>333</v>
      </c>
      <c r="AQ3" s="238"/>
      <c r="AR3" s="238" t="s">
        <v>333</v>
      </c>
      <c r="AS3" s="238"/>
      <c r="AT3" s="238" t="s">
        <v>333</v>
      </c>
      <c r="AU3" s="238"/>
      <c r="AV3" s="238" t="s">
        <v>333</v>
      </c>
      <c r="AW3" s="238"/>
      <c r="AX3" s="238" t="s">
        <v>333</v>
      </c>
      <c r="AY3" s="238"/>
      <c r="AZ3" s="238" t="s">
        <v>333</v>
      </c>
      <c r="BA3" s="238"/>
      <c r="BB3" s="238" t="s">
        <v>333</v>
      </c>
      <c r="BC3" s="238"/>
      <c r="BD3" s="238" t="s">
        <v>333</v>
      </c>
      <c r="BE3" s="238"/>
      <c r="BF3" s="238" t="s">
        <v>333</v>
      </c>
      <c r="BG3" s="238"/>
      <c r="BH3" s="238" t="s">
        <v>333</v>
      </c>
      <c r="BI3" s="238"/>
      <c r="BJ3" s="238" t="s">
        <v>333</v>
      </c>
      <c r="BK3" s="238"/>
      <c r="BL3" s="157"/>
      <c r="BM3" s="158"/>
      <c r="BN3" s="159"/>
      <c r="BO3" s="159"/>
      <c r="BP3" s="159"/>
      <c r="BQ3" s="160"/>
      <c r="BR3" s="159"/>
      <c r="BS3" s="161"/>
      <c r="BT3" s="222"/>
      <c r="BU3" s="236" t="s">
        <v>575</v>
      </c>
      <c r="BV3" s="236" t="s">
        <v>576</v>
      </c>
    </row>
    <row r="4" spans="1:74" ht="21.75" customHeight="1">
      <c r="A4" s="10" t="s">
        <v>263</v>
      </c>
      <c r="B4" s="10"/>
      <c r="C4" s="247"/>
      <c r="D4" s="247"/>
      <c r="E4" s="247"/>
      <c r="H4" s="248" t="s">
        <v>302</v>
      </c>
      <c r="K4" s="248" t="s">
        <v>303</v>
      </c>
      <c r="L4" s="121" t="s">
        <v>287</v>
      </c>
      <c r="M4" s="100" t="s">
        <v>343</v>
      </c>
      <c r="N4" s="84" t="s">
        <v>341</v>
      </c>
      <c r="O4" s="15" t="s">
        <v>343</v>
      </c>
      <c r="P4" s="84" t="s">
        <v>341</v>
      </c>
      <c r="Q4" s="15" t="s">
        <v>343</v>
      </c>
      <c r="R4" s="84" t="s">
        <v>341</v>
      </c>
      <c r="S4" s="15" t="s">
        <v>343</v>
      </c>
      <c r="T4" s="84" t="s">
        <v>341</v>
      </c>
      <c r="U4" s="15" t="s">
        <v>343</v>
      </c>
      <c r="V4" s="84" t="s">
        <v>341</v>
      </c>
      <c r="W4" s="15" t="s">
        <v>343</v>
      </c>
      <c r="X4" s="82" t="s">
        <v>341</v>
      </c>
      <c r="Y4" s="101" t="s">
        <v>347</v>
      </c>
      <c r="Z4" s="129"/>
      <c r="AA4" s="68"/>
      <c r="AB4" s="130">
        <v>2023</v>
      </c>
      <c r="AC4" s="131" t="s">
        <v>307</v>
      </c>
      <c r="AD4" s="62">
        <v>2023</v>
      </c>
      <c r="AE4" s="254"/>
      <c r="AF4" s="143"/>
      <c r="AG4" s="143"/>
      <c r="AH4" s="143"/>
      <c r="AI4" s="143"/>
      <c r="AJ4" s="117"/>
      <c r="AK4" s="147" t="s">
        <v>327</v>
      </c>
      <c r="AL4" s="239"/>
      <c r="AM4" s="239"/>
      <c r="AN4" s="259"/>
      <c r="AO4" s="25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42" t="s">
        <v>334</v>
      </c>
      <c r="BM4" s="243"/>
      <c r="BN4" s="243"/>
      <c r="BO4" s="244"/>
      <c r="BP4" s="244"/>
      <c r="BQ4" s="244"/>
      <c r="BR4" s="244"/>
      <c r="BS4" s="49"/>
      <c r="BT4" s="223"/>
      <c r="BU4" s="234" t="s">
        <v>319</v>
      </c>
      <c r="BV4" s="235" t="s">
        <v>574</v>
      </c>
    </row>
    <row r="5" spans="1:74" ht="18.75" customHeight="1">
      <c r="A5" s="10" t="s">
        <v>264</v>
      </c>
      <c r="B5" s="122"/>
      <c r="C5" s="247"/>
      <c r="D5" s="247"/>
      <c r="E5" s="247"/>
      <c r="F5" s="247" t="s">
        <v>337</v>
      </c>
      <c r="G5" s="247"/>
      <c r="H5" s="248"/>
      <c r="I5" s="247" t="s">
        <v>338</v>
      </c>
      <c r="J5" s="247"/>
      <c r="K5" s="248"/>
      <c r="L5" s="121">
        <v>2023</v>
      </c>
      <c r="M5" s="102"/>
      <c r="N5" s="85"/>
      <c r="O5" s="92"/>
      <c r="P5" s="86"/>
      <c r="Q5" s="94"/>
      <c r="R5" s="85"/>
      <c r="S5" s="7"/>
      <c r="T5" s="85"/>
      <c r="U5" s="7"/>
      <c r="V5" s="85"/>
      <c r="W5" s="7"/>
      <c r="X5" s="85"/>
      <c r="Y5" s="103" t="s">
        <v>348</v>
      </c>
      <c r="Z5" s="132" t="s">
        <v>336</v>
      </c>
      <c r="AA5" s="68" t="s">
        <v>300</v>
      </c>
      <c r="AB5" s="130" t="s">
        <v>288</v>
      </c>
      <c r="AC5" s="131" t="s">
        <v>308</v>
      </c>
      <c r="AD5" s="62" t="s">
        <v>288</v>
      </c>
      <c r="AE5" s="254"/>
      <c r="AF5" s="143"/>
      <c r="AG5" s="143"/>
      <c r="AH5" s="143"/>
      <c r="AI5" s="143"/>
      <c r="AJ5" s="68" t="s">
        <v>305</v>
      </c>
      <c r="AK5" s="68" t="s">
        <v>328</v>
      </c>
      <c r="AL5" s="239" t="s">
        <v>290</v>
      </c>
      <c r="AM5" s="239"/>
      <c r="AN5" s="259" t="s">
        <v>291</v>
      </c>
      <c r="AO5" s="259"/>
      <c r="AP5" s="239" t="s">
        <v>271</v>
      </c>
      <c r="AQ5" s="239"/>
      <c r="AR5" s="239" t="s">
        <v>292</v>
      </c>
      <c r="AS5" s="239"/>
      <c r="AT5" s="239" t="s">
        <v>272</v>
      </c>
      <c r="AU5" s="239"/>
      <c r="AV5" s="240" t="s">
        <v>273</v>
      </c>
      <c r="AW5" s="241"/>
      <c r="AX5" s="240" t="s">
        <v>274</v>
      </c>
      <c r="AY5" s="241"/>
      <c r="AZ5" s="240" t="s">
        <v>275</v>
      </c>
      <c r="BA5" s="241"/>
      <c r="BB5" s="240" t="s">
        <v>276</v>
      </c>
      <c r="BC5" s="241"/>
      <c r="BD5" s="240" t="s">
        <v>277</v>
      </c>
      <c r="BE5" s="241"/>
      <c r="BF5" s="240" t="s">
        <v>278</v>
      </c>
      <c r="BG5" s="241"/>
      <c r="BH5" s="240" t="s">
        <v>279</v>
      </c>
      <c r="BI5" s="241"/>
      <c r="BJ5" s="245" t="s">
        <v>295</v>
      </c>
      <c r="BK5" s="246"/>
      <c r="BL5" s="242"/>
      <c r="BM5" s="243"/>
      <c r="BN5" s="243"/>
      <c r="BO5" s="244"/>
      <c r="BP5" s="244"/>
      <c r="BQ5" s="244"/>
      <c r="BR5" s="244"/>
      <c r="BS5" s="149"/>
      <c r="BT5" s="224"/>
      <c r="BU5" s="226" t="s">
        <v>573</v>
      </c>
      <c r="BV5" s="227" t="s">
        <v>577</v>
      </c>
    </row>
    <row r="6" spans="1:74" ht="18.75" customHeight="1">
      <c r="A6" s="31"/>
      <c r="B6" s="123"/>
      <c r="C6" s="256" t="s">
        <v>311</v>
      </c>
      <c r="D6" s="257"/>
      <c r="E6" s="258"/>
      <c r="F6" s="65" t="s">
        <v>265</v>
      </c>
      <c r="G6" s="68" t="s">
        <v>301</v>
      </c>
      <c r="H6" s="125"/>
      <c r="I6" s="65" t="s">
        <v>265</v>
      </c>
      <c r="J6" s="68" t="s">
        <v>301</v>
      </c>
      <c r="K6" s="125"/>
      <c r="L6" s="126"/>
      <c r="M6" s="104"/>
      <c r="N6" s="85"/>
      <c r="O6" s="93"/>
      <c r="P6" s="87"/>
      <c r="Q6" s="95"/>
      <c r="R6" s="105"/>
      <c r="S6" s="7"/>
      <c r="T6" s="85"/>
      <c r="U6" s="7"/>
      <c r="V6" s="85"/>
      <c r="W6" s="7"/>
      <c r="X6" s="85"/>
      <c r="Y6" s="106" t="s">
        <v>346</v>
      </c>
      <c r="Z6" s="133" t="s">
        <v>322</v>
      </c>
      <c r="AA6" s="124">
        <v>2022</v>
      </c>
      <c r="AB6" s="134" t="s">
        <v>289</v>
      </c>
      <c r="AC6" s="135">
        <v>2023</v>
      </c>
      <c r="AD6" s="62" t="s">
        <v>309</v>
      </c>
      <c r="AE6" s="144"/>
      <c r="AF6" s="144"/>
      <c r="AG6" s="144"/>
      <c r="AH6" s="143"/>
      <c r="AI6" s="143"/>
      <c r="AJ6" s="148" t="s">
        <v>326</v>
      </c>
      <c r="AK6" s="124" t="s">
        <v>329</v>
      </c>
      <c r="AL6" s="46"/>
      <c r="AM6" s="47"/>
      <c r="AN6" s="190"/>
      <c r="AO6" s="191"/>
      <c r="AP6" s="46"/>
      <c r="AQ6" s="47"/>
      <c r="AR6" s="46"/>
      <c r="AS6" s="47"/>
      <c r="AT6" s="46"/>
      <c r="AU6" s="47"/>
      <c r="AV6" s="46"/>
      <c r="AW6" s="47"/>
      <c r="AX6" s="46"/>
      <c r="AY6" s="47"/>
      <c r="AZ6" s="46"/>
      <c r="BA6" s="47"/>
      <c r="BB6" s="46"/>
      <c r="BC6" s="47"/>
      <c r="BD6" s="46"/>
      <c r="BE6" s="47"/>
      <c r="BF6" s="46"/>
      <c r="BG6" s="47"/>
      <c r="BH6" s="46"/>
      <c r="BI6" s="47"/>
      <c r="BJ6" s="48"/>
      <c r="BK6" s="49"/>
      <c r="BL6" s="162"/>
      <c r="BM6" s="163"/>
      <c r="BN6" s="163"/>
      <c r="BO6" s="163"/>
      <c r="BP6" s="163"/>
      <c r="BQ6" s="164"/>
      <c r="BR6" s="164"/>
      <c r="BS6" s="165"/>
      <c r="BT6" s="225"/>
      <c r="BU6" s="221" t="s">
        <v>363</v>
      </c>
      <c r="BV6" s="232" t="s">
        <v>363</v>
      </c>
    </row>
    <row r="7" spans="1:74" ht="143.25" customHeight="1">
      <c r="A7" s="1" t="s">
        <v>315</v>
      </c>
      <c r="B7" s="39" t="s">
        <v>269</v>
      </c>
      <c r="C7" s="15" t="s">
        <v>267</v>
      </c>
      <c r="D7" s="15" t="s">
        <v>268</v>
      </c>
      <c r="E7" s="15" t="s">
        <v>0</v>
      </c>
      <c r="F7" s="251" t="s">
        <v>306</v>
      </c>
      <c r="G7" s="252"/>
      <c r="H7" s="32"/>
      <c r="I7" s="251" t="s">
        <v>306</v>
      </c>
      <c r="J7" s="252"/>
      <c r="K7" s="32"/>
      <c r="L7" s="128" t="s">
        <v>350</v>
      </c>
      <c r="M7" s="107"/>
      <c r="N7" s="88"/>
      <c r="O7" s="1"/>
      <c r="P7" s="88"/>
      <c r="Q7" s="1"/>
      <c r="R7" s="88"/>
      <c r="S7" s="1"/>
      <c r="T7" s="88"/>
      <c r="U7" s="1"/>
      <c r="V7" s="88"/>
      <c r="W7" s="1"/>
      <c r="X7" s="88"/>
      <c r="Y7" s="108"/>
      <c r="Z7" s="72"/>
      <c r="AA7" s="1"/>
      <c r="AB7" s="40"/>
      <c r="AC7" s="35"/>
      <c r="AD7" s="140"/>
      <c r="AE7" s="145" t="s">
        <v>355</v>
      </c>
      <c r="AF7" s="145" t="s">
        <v>324</v>
      </c>
      <c r="AG7" s="145" t="s">
        <v>325</v>
      </c>
      <c r="AH7" s="146" t="s">
        <v>293</v>
      </c>
      <c r="AI7" s="146" t="s">
        <v>294</v>
      </c>
      <c r="AJ7" s="141"/>
      <c r="AK7" s="56"/>
      <c r="AL7" s="4" t="s">
        <v>283</v>
      </c>
      <c r="AM7" s="4" t="s">
        <v>284</v>
      </c>
      <c r="AN7" s="192" t="s">
        <v>283</v>
      </c>
      <c r="AO7" s="192" t="s">
        <v>284</v>
      </c>
      <c r="AP7" s="4" t="s">
        <v>283</v>
      </c>
      <c r="AQ7" s="4" t="s">
        <v>284</v>
      </c>
      <c r="AR7" s="4" t="s">
        <v>283</v>
      </c>
      <c r="AS7" s="4" t="s">
        <v>284</v>
      </c>
      <c r="AT7" s="4" t="s">
        <v>283</v>
      </c>
      <c r="AU7" s="4" t="s">
        <v>284</v>
      </c>
      <c r="AV7" s="4" t="s">
        <v>283</v>
      </c>
      <c r="AW7" s="4" t="s">
        <v>284</v>
      </c>
      <c r="AX7" s="4" t="s">
        <v>283</v>
      </c>
      <c r="AY7" s="4" t="s">
        <v>284</v>
      </c>
      <c r="AZ7" s="4" t="s">
        <v>283</v>
      </c>
      <c r="BA7" s="4" t="s">
        <v>284</v>
      </c>
      <c r="BB7" s="4" t="s">
        <v>283</v>
      </c>
      <c r="BC7" s="4" t="s">
        <v>284</v>
      </c>
      <c r="BD7" s="4" t="s">
        <v>283</v>
      </c>
      <c r="BE7" s="4" t="s">
        <v>284</v>
      </c>
      <c r="BF7" s="4" t="s">
        <v>283</v>
      </c>
      <c r="BG7" s="4" t="s">
        <v>284</v>
      </c>
      <c r="BH7" s="4" t="s">
        <v>283</v>
      </c>
      <c r="BI7" s="4" t="s">
        <v>284</v>
      </c>
      <c r="BJ7" s="15" t="s">
        <v>283</v>
      </c>
      <c r="BK7" s="15" t="s">
        <v>284</v>
      </c>
      <c r="BL7" s="151" t="s">
        <v>330</v>
      </c>
      <c r="BM7" s="152" t="s">
        <v>304</v>
      </c>
      <c r="BN7" s="152" t="s">
        <v>351</v>
      </c>
      <c r="BO7" s="152" t="s">
        <v>340</v>
      </c>
      <c r="BP7" s="193" t="s">
        <v>358</v>
      </c>
      <c r="BQ7" s="152" t="s">
        <v>320</v>
      </c>
      <c r="BR7" s="151" t="s">
        <v>312</v>
      </c>
      <c r="BS7" s="21" t="s">
        <v>361</v>
      </c>
      <c r="BT7" s="204" t="s">
        <v>362</v>
      </c>
      <c r="BU7" s="219"/>
      <c r="BV7" s="1"/>
    </row>
    <row r="8" spans="1:76" ht="18" customHeight="1">
      <c r="A8" s="1">
        <v>1</v>
      </c>
      <c r="B8" s="1" t="s">
        <v>266</v>
      </c>
      <c r="C8" s="1">
        <v>411.9</v>
      </c>
      <c r="D8" s="1">
        <v>0</v>
      </c>
      <c r="E8" s="1">
        <f>C8+D8</f>
        <v>411.9</v>
      </c>
      <c r="F8" s="2">
        <v>6.48</v>
      </c>
      <c r="G8" s="2">
        <f aca="true" t="shared" si="0" ref="G8:G59">E8*F8</f>
        <v>2669.112</v>
      </c>
      <c r="H8" s="2">
        <f>G8*6</f>
        <v>16014.672</v>
      </c>
      <c r="I8" s="2">
        <f>F8*1</f>
        <v>6.48</v>
      </c>
      <c r="J8" s="2">
        <f aca="true" t="shared" si="1" ref="J8:J66">E8*I8</f>
        <v>2669.112</v>
      </c>
      <c r="K8" s="2">
        <f>J8*6</f>
        <v>16014.672</v>
      </c>
      <c r="L8" s="97">
        <f aca="true" t="shared" si="2" ref="L8:L60">H8+K8</f>
        <v>32029.344</v>
      </c>
      <c r="M8" s="109">
        <v>3.92</v>
      </c>
      <c r="N8" s="89">
        <f aca="true" t="shared" si="3" ref="N8:N66">E8*M8*12</f>
        <v>19375.775999999998</v>
      </c>
      <c r="O8" s="64"/>
      <c r="P8" s="90">
        <f aca="true" t="shared" si="4" ref="P8:P66">E8*O8*12</f>
        <v>0</v>
      </c>
      <c r="Q8" s="64"/>
      <c r="R8" s="90">
        <f aca="true" t="shared" si="5" ref="R8:R66">E8*Q8*12</f>
        <v>0</v>
      </c>
      <c r="S8" s="64"/>
      <c r="T8" s="91">
        <f aca="true" t="shared" si="6" ref="T8:T66">E8*S8*12</f>
        <v>0</v>
      </c>
      <c r="U8" s="64">
        <v>0</v>
      </c>
      <c r="V8" s="90">
        <f aca="true" t="shared" si="7" ref="V8:V66">E8*U8*12</f>
        <v>0</v>
      </c>
      <c r="W8" s="96"/>
      <c r="X8" s="91">
        <f aca="true" t="shared" si="8" ref="X8:X66">E8*W8*12</f>
        <v>0</v>
      </c>
      <c r="Y8" s="110">
        <f>N8+P8+R8+T8+V8+X8</f>
        <v>19375.775999999998</v>
      </c>
      <c r="Z8" s="32"/>
      <c r="AA8" s="12">
        <f aca="true" t="shared" si="9" ref="AA8:AA66">Z8/L8</f>
        <v>0</v>
      </c>
      <c r="AB8" s="25">
        <f aca="true" t="shared" si="10" ref="AB8:AB66">L8+Z8</f>
        <v>32029.344</v>
      </c>
      <c r="AC8" s="44"/>
      <c r="AD8" s="8">
        <f>AB8-AC8</f>
        <v>32029.344</v>
      </c>
      <c r="AE8" s="167">
        <v>13444.416</v>
      </c>
      <c r="AF8" s="168">
        <v>523.9917506087123</v>
      </c>
      <c r="AG8" s="168">
        <v>2145.120249391288</v>
      </c>
      <c r="AH8" s="168">
        <v>6287.901007304548</v>
      </c>
      <c r="AI8" s="168">
        <v>25741.442992695454</v>
      </c>
      <c r="AJ8" s="78" t="s">
        <v>299</v>
      </c>
      <c r="AK8" s="57"/>
      <c r="AL8" s="45">
        <v>0</v>
      </c>
      <c r="AM8" s="45">
        <v>1124.49</v>
      </c>
      <c r="AN8" s="2">
        <v>0</v>
      </c>
      <c r="AO8" s="2">
        <v>1124.49</v>
      </c>
      <c r="AP8" s="1">
        <v>0</v>
      </c>
      <c r="AQ8" s="1">
        <v>1124.49</v>
      </c>
      <c r="AR8" s="24">
        <v>0</v>
      </c>
      <c r="AS8" s="24">
        <v>1822.99</v>
      </c>
      <c r="AT8" s="1">
        <v>0</v>
      </c>
      <c r="AU8" s="1">
        <v>1124.49</v>
      </c>
      <c r="AV8" s="24">
        <v>0</v>
      </c>
      <c r="AW8" s="24">
        <v>1124.49</v>
      </c>
      <c r="AX8" s="45">
        <v>0</v>
      </c>
      <c r="AY8" s="45">
        <v>1124.49</v>
      </c>
      <c r="AZ8" s="24">
        <v>0</v>
      </c>
      <c r="BA8" s="24">
        <v>1124.49</v>
      </c>
      <c r="BB8" s="24">
        <v>0</v>
      </c>
      <c r="BC8" s="24">
        <v>1124.49</v>
      </c>
      <c r="BD8" s="24">
        <v>0</v>
      </c>
      <c r="BE8" s="24">
        <v>1124.49</v>
      </c>
      <c r="BF8" s="24">
        <v>0</v>
      </c>
      <c r="BG8" s="24">
        <v>1950.49</v>
      </c>
      <c r="BH8" s="24">
        <v>0</v>
      </c>
      <c r="BI8" s="24">
        <v>1124.49</v>
      </c>
      <c r="BJ8" s="9">
        <f>AL8+AN8+AP8+AR8+AT8+AV8+AX8+AZ8+BB8+BD8+BF8+BH8</f>
        <v>0</v>
      </c>
      <c r="BK8" s="9">
        <f>AM8+AO8+AQ8+AS8+AU8+AW8+AY8+BA8+BC8+BE8+BG8+BI8</f>
        <v>15018.38</v>
      </c>
      <c r="BL8" s="153">
        <f>BJ8+BK8</f>
        <v>15018.38</v>
      </c>
      <c r="BM8" s="154"/>
      <c r="BN8" s="154"/>
      <c r="BO8" s="154"/>
      <c r="BP8" s="154"/>
      <c r="BQ8" s="154"/>
      <c r="BR8" s="155">
        <f>BL8+BM8+BN8+BO8+BQ8+BP8</f>
        <v>15018.38</v>
      </c>
      <c r="BS8" s="198"/>
      <c r="BT8" s="199"/>
      <c r="BU8" s="20">
        <f>AB8-BR8+BS8</f>
        <v>17010.964</v>
      </c>
      <c r="BV8" s="231">
        <v>661087.26</v>
      </c>
      <c r="BW8" s="229"/>
      <c r="BX8" s="230"/>
    </row>
    <row r="9" spans="1:76" ht="15.75">
      <c r="A9" s="1">
        <v>2</v>
      </c>
      <c r="B9" s="1" t="s">
        <v>1</v>
      </c>
      <c r="C9" s="1">
        <v>3409.4</v>
      </c>
      <c r="D9" s="1">
        <v>0</v>
      </c>
      <c r="E9" s="1">
        <f>C9+D9</f>
        <v>3409.4</v>
      </c>
      <c r="F9" s="2">
        <v>15.85</v>
      </c>
      <c r="G9" s="2">
        <f t="shared" si="0"/>
        <v>54038.99</v>
      </c>
      <c r="H9" s="2">
        <f aca="true" t="shared" si="11" ref="H9:H60">G9*6</f>
        <v>324233.94</v>
      </c>
      <c r="I9" s="2">
        <f aca="true" t="shared" si="12" ref="I9:I64">F9*1</f>
        <v>15.85</v>
      </c>
      <c r="J9" s="2">
        <f t="shared" si="1"/>
        <v>54038.99</v>
      </c>
      <c r="K9" s="2">
        <f aca="true" t="shared" si="13" ref="K9:K60">J9*6</f>
        <v>324233.94</v>
      </c>
      <c r="L9" s="97">
        <f t="shared" si="2"/>
        <v>648467.88</v>
      </c>
      <c r="M9" s="109">
        <v>3.92</v>
      </c>
      <c r="N9" s="89">
        <f t="shared" si="3"/>
        <v>160378.176</v>
      </c>
      <c r="O9" s="64">
        <v>1.46</v>
      </c>
      <c r="P9" s="90">
        <f t="shared" si="4"/>
        <v>59732.688</v>
      </c>
      <c r="Q9" s="64">
        <v>0.52</v>
      </c>
      <c r="R9" s="90">
        <f t="shared" si="5"/>
        <v>21274.656000000003</v>
      </c>
      <c r="S9" s="64">
        <v>0.89</v>
      </c>
      <c r="T9" s="91">
        <f t="shared" si="6"/>
        <v>36412.392</v>
      </c>
      <c r="U9" s="64">
        <v>0.54</v>
      </c>
      <c r="V9" s="90">
        <f t="shared" si="7"/>
        <v>22092.912000000004</v>
      </c>
      <c r="W9" s="96"/>
      <c r="X9" s="91">
        <f t="shared" si="8"/>
        <v>0</v>
      </c>
      <c r="Y9" s="110">
        <f aca="true" t="shared" si="14" ref="Y9:Y67">N9+P9+R9+T9+V9+X9</f>
        <v>299890.824</v>
      </c>
      <c r="Z9" s="32">
        <v>-246785.4</v>
      </c>
      <c r="AA9" s="12">
        <f t="shared" si="9"/>
        <v>-0.3805668832818674</v>
      </c>
      <c r="AB9" s="25">
        <f t="shared" si="10"/>
        <v>401682.48</v>
      </c>
      <c r="AC9" s="44"/>
      <c r="AD9" s="8">
        <f aca="true" t="shared" si="15" ref="AD9:AD60">AB9-AC9</f>
        <v>401682.48</v>
      </c>
      <c r="AE9" s="167">
        <v>223006.44000000003</v>
      </c>
      <c r="AF9" s="168">
        <v>0</v>
      </c>
      <c r="AG9" s="168">
        <v>33473.54</v>
      </c>
      <c r="AH9" s="168">
        <v>0</v>
      </c>
      <c r="AI9" s="168">
        <v>401682.48</v>
      </c>
      <c r="AJ9" s="79"/>
      <c r="AK9" s="58"/>
      <c r="AL9" s="45">
        <v>0</v>
      </c>
      <c r="AM9" s="45">
        <v>53051.23</v>
      </c>
      <c r="AN9" s="2">
        <v>0</v>
      </c>
      <c r="AO9" s="2">
        <v>21383.39</v>
      </c>
      <c r="AP9" s="1">
        <v>0</v>
      </c>
      <c r="AQ9" s="1">
        <v>71729.18</v>
      </c>
      <c r="AR9" s="24">
        <v>0</v>
      </c>
      <c r="AS9" s="24">
        <v>35278.25</v>
      </c>
      <c r="AT9" s="1">
        <v>0</v>
      </c>
      <c r="AU9" s="1">
        <v>115783.69</v>
      </c>
      <c r="AV9" s="24">
        <v>0</v>
      </c>
      <c r="AW9" s="24">
        <v>65292.4</v>
      </c>
      <c r="AX9" s="45">
        <v>0</v>
      </c>
      <c r="AY9" s="45">
        <v>43064.02</v>
      </c>
      <c r="AZ9" s="24">
        <v>0</v>
      </c>
      <c r="BA9" s="24">
        <v>38270.41</v>
      </c>
      <c r="BB9" s="24">
        <v>0</v>
      </c>
      <c r="BC9" s="24">
        <v>38050.86</v>
      </c>
      <c r="BD9" s="24">
        <v>0</v>
      </c>
      <c r="BE9" s="24">
        <v>28993.64</v>
      </c>
      <c r="BF9" s="24">
        <v>0</v>
      </c>
      <c r="BG9" s="24">
        <v>22619.35</v>
      </c>
      <c r="BH9" s="24">
        <v>0</v>
      </c>
      <c r="BI9" s="24">
        <v>28630.96</v>
      </c>
      <c r="BJ9" s="9">
        <f aca="true" t="shared" si="16" ref="BJ9:BJ60">AL9+AN9+AP9+AR9+AT9+AV9+AX9+AZ9+BB9+BD9+BF9+BH9</f>
        <v>0</v>
      </c>
      <c r="BK9" s="9">
        <f aca="true" t="shared" si="17" ref="BK9:BK60">AM9+AO9+AQ9+AS9+AU9+AW9+AY9+BA9+BC9+BE9+BG9+BI9</f>
        <v>562147.38</v>
      </c>
      <c r="BL9" s="153">
        <f aca="true" t="shared" si="18" ref="BL9:BL60">BJ9+BK9</f>
        <v>562147.38</v>
      </c>
      <c r="BM9" s="154"/>
      <c r="BN9" s="154">
        <v>1539</v>
      </c>
      <c r="BO9" s="154">
        <v>2652.48</v>
      </c>
      <c r="BP9" s="154"/>
      <c r="BQ9" s="154"/>
      <c r="BR9" s="155">
        <f aca="true" t="shared" si="19" ref="BR9:BR67">BL9+BM9+BN9+BO9+BQ9+BP9</f>
        <v>566338.86</v>
      </c>
      <c r="BS9" s="198">
        <v>7471.19</v>
      </c>
      <c r="BT9" s="199">
        <v>4128</v>
      </c>
      <c r="BU9" s="20">
        <f aca="true" t="shared" si="20" ref="BU9:BU66">AB9-BR9+BS9</f>
        <v>-157185.19</v>
      </c>
      <c r="BV9" s="231">
        <v>720336.09</v>
      </c>
      <c r="BW9" s="229"/>
      <c r="BX9" s="230"/>
    </row>
    <row r="10" spans="1:133" s="17" customFormat="1" ht="15.75">
      <c r="A10" s="1">
        <v>3</v>
      </c>
      <c r="B10" s="1" t="s">
        <v>260</v>
      </c>
      <c r="C10" s="1">
        <v>534</v>
      </c>
      <c r="D10" s="1">
        <v>0</v>
      </c>
      <c r="E10" s="1">
        <f>C10+D10</f>
        <v>534</v>
      </c>
      <c r="F10" s="2">
        <v>8.9</v>
      </c>
      <c r="G10" s="2">
        <f t="shared" si="0"/>
        <v>4752.6</v>
      </c>
      <c r="H10" s="2">
        <f t="shared" si="11"/>
        <v>28515.600000000002</v>
      </c>
      <c r="I10" s="2">
        <f t="shared" si="12"/>
        <v>8.9</v>
      </c>
      <c r="J10" s="2">
        <f t="shared" si="1"/>
        <v>4752.6</v>
      </c>
      <c r="K10" s="2">
        <f t="shared" si="13"/>
        <v>28515.600000000002</v>
      </c>
      <c r="L10" s="97">
        <f t="shared" si="2"/>
        <v>57031.200000000004</v>
      </c>
      <c r="M10" s="109">
        <v>3.92</v>
      </c>
      <c r="N10" s="89">
        <f t="shared" si="3"/>
        <v>25119.359999999997</v>
      </c>
      <c r="O10" s="64"/>
      <c r="P10" s="90">
        <f t="shared" si="4"/>
        <v>0</v>
      </c>
      <c r="Q10" s="64"/>
      <c r="R10" s="90">
        <f t="shared" si="5"/>
        <v>0</v>
      </c>
      <c r="S10" s="64"/>
      <c r="T10" s="91">
        <f t="shared" si="6"/>
        <v>0</v>
      </c>
      <c r="U10" s="64">
        <v>0</v>
      </c>
      <c r="V10" s="90">
        <f t="shared" si="7"/>
        <v>0</v>
      </c>
      <c r="W10" s="96"/>
      <c r="X10" s="91">
        <f t="shared" si="8"/>
        <v>0</v>
      </c>
      <c r="Y10" s="110">
        <f t="shared" si="14"/>
        <v>25119.359999999997</v>
      </c>
      <c r="Z10" s="32">
        <v>-482910.46</v>
      </c>
      <c r="AA10" s="12">
        <f t="shared" si="9"/>
        <v>-8.467478502994851</v>
      </c>
      <c r="AB10" s="25">
        <f t="shared" si="10"/>
        <v>-425879.26</v>
      </c>
      <c r="AC10" s="44"/>
      <c r="AD10" s="8">
        <f t="shared" si="15"/>
        <v>-425879.26</v>
      </c>
      <c r="AE10" s="167">
        <v>17429.760000000002</v>
      </c>
      <c r="AF10" s="168">
        <v>0</v>
      </c>
      <c r="AG10" s="168">
        <v>1452.4800000000002</v>
      </c>
      <c r="AH10" s="168">
        <v>0</v>
      </c>
      <c r="AI10" s="168">
        <v>17429.760000000002</v>
      </c>
      <c r="AJ10" s="78" t="s">
        <v>299</v>
      </c>
      <c r="AK10" s="26" t="s">
        <v>352</v>
      </c>
      <c r="AL10" s="45">
        <v>0</v>
      </c>
      <c r="AM10" s="45">
        <v>1457.82</v>
      </c>
      <c r="AN10" s="2">
        <v>0</v>
      </c>
      <c r="AO10" s="2">
        <v>1457.82</v>
      </c>
      <c r="AP10" s="1">
        <v>0</v>
      </c>
      <c r="AQ10" s="1">
        <v>1457.82</v>
      </c>
      <c r="AR10" s="24">
        <v>0</v>
      </c>
      <c r="AS10" s="24">
        <v>2156.32</v>
      </c>
      <c r="AT10" s="1">
        <v>0</v>
      </c>
      <c r="AU10" s="1">
        <v>1457.82</v>
      </c>
      <c r="AV10" s="24">
        <v>0</v>
      </c>
      <c r="AW10" s="24">
        <v>1457.82</v>
      </c>
      <c r="AX10" s="45">
        <v>0</v>
      </c>
      <c r="AY10" s="45">
        <v>1457.82</v>
      </c>
      <c r="AZ10" s="24">
        <v>0</v>
      </c>
      <c r="BA10" s="24">
        <v>1457.82</v>
      </c>
      <c r="BB10" s="24">
        <v>0</v>
      </c>
      <c r="BC10" s="24">
        <v>1457.82</v>
      </c>
      <c r="BD10" s="24">
        <v>0</v>
      </c>
      <c r="BE10" s="24">
        <v>1457.82</v>
      </c>
      <c r="BF10" s="24">
        <v>0</v>
      </c>
      <c r="BG10" s="24">
        <v>2283.82</v>
      </c>
      <c r="BH10" s="24">
        <v>0</v>
      </c>
      <c r="BI10" s="24">
        <v>1457.82</v>
      </c>
      <c r="BJ10" s="9">
        <f t="shared" si="16"/>
        <v>0</v>
      </c>
      <c r="BK10" s="9">
        <f t="shared" si="17"/>
        <v>19018.34</v>
      </c>
      <c r="BL10" s="153">
        <f t="shared" si="18"/>
        <v>19018.34</v>
      </c>
      <c r="BM10" s="154"/>
      <c r="BN10" s="154"/>
      <c r="BO10" s="154"/>
      <c r="BP10" s="154"/>
      <c r="BQ10" s="154"/>
      <c r="BR10" s="155">
        <f t="shared" si="19"/>
        <v>19018.34</v>
      </c>
      <c r="BS10" s="198"/>
      <c r="BT10" s="199"/>
      <c r="BU10" s="20">
        <f t="shared" si="20"/>
        <v>-444897.60000000003</v>
      </c>
      <c r="BV10" s="231">
        <v>218668.15</v>
      </c>
      <c r="BW10" s="229"/>
      <c r="BX10" s="230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</row>
    <row r="11" spans="1:133" s="17" customFormat="1" ht="15.75">
      <c r="A11" s="1">
        <v>4</v>
      </c>
      <c r="B11" s="1" t="s">
        <v>2</v>
      </c>
      <c r="C11" s="1">
        <v>609.4</v>
      </c>
      <c r="D11" s="1">
        <v>0</v>
      </c>
      <c r="E11" s="1">
        <f>C11+D11</f>
        <v>609.4</v>
      </c>
      <c r="F11" s="2">
        <v>13.89</v>
      </c>
      <c r="G11" s="2">
        <f t="shared" si="0"/>
        <v>8464.566</v>
      </c>
      <c r="H11" s="2">
        <f t="shared" si="11"/>
        <v>50787.39600000001</v>
      </c>
      <c r="I11" s="2">
        <f t="shared" si="12"/>
        <v>13.89</v>
      </c>
      <c r="J11" s="2">
        <f t="shared" si="1"/>
        <v>8464.566</v>
      </c>
      <c r="K11" s="2">
        <f t="shared" si="13"/>
        <v>50787.39600000001</v>
      </c>
      <c r="L11" s="97">
        <f t="shared" si="2"/>
        <v>101574.79200000002</v>
      </c>
      <c r="M11" s="109">
        <v>3.92</v>
      </c>
      <c r="N11" s="89">
        <f t="shared" si="3"/>
        <v>28666.176</v>
      </c>
      <c r="O11" s="64">
        <v>1.46</v>
      </c>
      <c r="P11" s="90">
        <f t="shared" si="4"/>
        <v>10676.687999999998</v>
      </c>
      <c r="Q11" s="64"/>
      <c r="R11" s="90">
        <f t="shared" si="5"/>
        <v>0</v>
      </c>
      <c r="S11" s="64"/>
      <c r="T11" s="91">
        <f t="shared" si="6"/>
        <v>0</v>
      </c>
      <c r="U11" s="64">
        <v>1.92</v>
      </c>
      <c r="V11" s="90">
        <f t="shared" si="7"/>
        <v>14040.576000000001</v>
      </c>
      <c r="W11" s="96"/>
      <c r="X11" s="91">
        <f t="shared" si="8"/>
        <v>0</v>
      </c>
      <c r="Y11" s="110">
        <f t="shared" si="14"/>
        <v>53383.44</v>
      </c>
      <c r="Z11" s="32"/>
      <c r="AA11" s="12">
        <f t="shared" si="9"/>
        <v>0</v>
      </c>
      <c r="AB11" s="25">
        <f t="shared" si="10"/>
        <v>101574.79200000002</v>
      </c>
      <c r="AC11" s="44"/>
      <c r="AD11" s="8">
        <f t="shared" si="15"/>
        <v>101574.79200000002</v>
      </c>
      <c r="AE11" s="167">
        <v>22441.920000000002</v>
      </c>
      <c r="AF11" s="168">
        <v>0</v>
      </c>
      <c r="AG11" s="168">
        <v>8464.566</v>
      </c>
      <c r="AH11" s="168">
        <v>0</v>
      </c>
      <c r="AI11" s="168">
        <v>101574.79200000002</v>
      </c>
      <c r="AJ11" s="78" t="s">
        <v>296</v>
      </c>
      <c r="AK11" s="57"/>
      <c r="AL11" s="45">
        <v>0</v>
      </c>
      <c r="AM11" s="45">
        <v>6407.19</v>
      </c>
      <c r="AN11" s="2">
        <v>0</v>
      </c>
      <c r="AO11" s="2">
        <v>26116.6</v>
      </c>
      <c r="AP11" s="1">
        <v>0</v>
      </c>
      <c r="AQ11" s="1">
        <v>1876.19</v>
      </c>
      <c r="AR11" s="24">
        <v>0</v>
      </c>
      <c r="AS11" s="24">
        <v>3152.19</v>
      </c>
      <c r="AT11" s="1">
        <v>0</v>
      </c>
      <c r="AU11" s="1">
        <v>3083.95</v>
      </c>
      <c r="AV11" s="24">
        <v>0</v>
      </c>
      <c r="AW11" s="24">
        <v>4519.15</v>
      </c>
      <c r="AX11" s="45">
        <v>0</v>
      </c>
      <c r="AY11" s="45">
        <v>4036.19</v>
      </c>
      <c r="AZ11" s="24">
        <v>0</v>
      </c>
      <c r="BA11" s="24">
        <v>1876.19</v>
      </c>
      <c r="BB11" s="24">
        <v>0</v>
      </c>
      <c r="BC11" s="24">
        <v>1876.19</v>
      </c>
      <c r="BD11" s="24">
        <v>0</v>
      </c>
      <c r="BE11" s="24">
        <v>10211.27</v>
      </c>
      <c r="BF11" s="24">
        <v>0</v>
      </c>
      <c r="BG11" s="24">
        <v>6403.59</v>
      </c>
      <c r="BH11" s="24">
        <v>0</v>
      </c>
      <c r="BI11" s="24">
        <v>4895.59</v>
      </c>
      <c r="BJ11" s="9">
        <f t="shared" si="16"/>
        <v>0</v>
      </c>
      <c r="BK11" s="9">
        <f t="shared" si="17"/>
        <v>74454.29</v>
      </c>
      <c r="BL11" s="153">
        <f t="shared" si="18"/>
        <v>74454.29</v>
      </c>
      <c r="BM11" s="154"/>
      <c r="BN11" s="154"/>
      <c r="BO11" s="154"/>
      <c r="BP11" s="154"/>
      <c r="BQ11" s="154"/>
      <c r="BR11" s="155">
        <f t="shared" si="19"/>
        <v>74454.29</v>
      </c>
      <c r="BS11" s="198">
        <v>440.12</v>
      </c>
      <c r="BT11" s="199">
        <v>13836</v>
      </c>
      <c r="BU11" s="20">
        <f t="shared" si="20"/>
        <v>27560.62200000002</v>
      </c>
      <c r="BV11" s="231">
        <v>365457.67</v>
      </c>
      <c r="BW11" s="229"/>
      <c r="BX11" s="230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</row>
    <row r="12" spans="1:76" ht="15.75" customHeight="1">
      <c r="A12" s="1">
        <v>5</v>
      </c>
      <c r="B12" s="1" t="s">
        <v>3</v>
      </c>
      <c r="C12" s="1">
        <v>3416.9</v>
      </c>
      <c r="D12" s="1">
        <v>118</v>
      </c>
      <c r="E12" s="1">
        <f aca="true" t="shared" si="21" ref="E12:E18">C12+D12</f>
        <v>3534.9</v>
      </c>
      <c r="F12" s="2">
        <v>15.18</v>
      </c>
      <c r="G12" s="2">
        <f t="shared" si="0"/>
        <v>53659.782</v>
      </c>
      <c r="H12" s="2">
        <f t="shared" si="11"/>
        <v>321958.692</v>
      </c>
      <c r="I12" s="2">
        <f t="shared" si="12"/>
        <v>15.18</v>
      </c>
      <c r="J12" s="2">
        <f t="shared" si="1"/>
        <v>53659.782</v>
      </c>
      <c r="K12" s="2">
        <f t="shared" si="13"/>
        <v>321958.692</v>
      </c>
      <c r="L12" s="97">
        <f t="shared" si="2"/>
        <v>643917.384</v>
      </c>
      <c r="M12" s="109">
        <v>3.92</v>
      </c>
      <c r="N12" s="89">
        <f t="shared" si="3"/>
        <v>166281.696</v>
      </c>
      <c r="O12" s="64">
        <v>1.46</v>
      </c>
      <c r="P12" s="90">
        <f t="shared" si="4"/>
        <v>61931.448</v>
      </c>
      <c r="Q12" s="64"/>
      <c r="R12" s="90">
        <f t="shared" si="5"/>
        <v>0</v>
      </c>
      <c r="S12" s="64"/>
      <c r="T12" s="91">
        <f t="shared" si="6"/>
        <v>0</v>
      </c>
      <c r="U12" s="64">
        <v>0.43</v>
      </c>
      <c r="V12" s="90">
        <f t="shared" si="7"/>
        <v>18240.084000000003</v>
      </c>
      <c r="W12" s="96"/>
      <c r="X12" s="91">
        <f t="shared" si="8"/>
        <v>0</v>
      </c>
      <c r="Y12" s="110">
        <f t="shared" si="14"/>
        <v>246453.228</v>
      </c>
      <c r="Z12" s="32"/>
      <c r="AA12" s="12">
        <f t="shared" si="9"/>
        <v>0</v>
      </c>
      <c r="AB12" s="25">
        <f t="shared" si="10"/>
        <v>643917.384</v>
      </c>
      <c r="AC12" s="44"/>
      <c r="AD12" s="8">
        <f t="shared" si="15"/>
        <v>643917.384</v>
      </c>
      <c r="AE12" s="167">
        <v>230973.14400000003</v>
      </c>
      <c r="AF12" s="168">
        <v>31368.536875510832</v>
      </c>
      <c r="AG12" s="168">
        <v>22291.24512448917</v>
      </c>
      <c r="AH12" s="168">
        <v>376422.44250612997</v>
      </c>
      <c r="AI12" s="168">
        <v>267494.94149387005</v>
      </c>
      <c r="AJ12" s="78"/>
      <c r="AK12" s="57"/>
      <c r="AL12" s="45">
        <v>11355.8</v>
      </c>
      <c r="AM12" s="45">
        <v>9879.46</v>
      </c>
      <c r="AN12" s="2">
        <v>11673.78</v>
      </c>
      <c r="AO12" s="2">
        <v>11212.65</v>
      </c>
      <c r="AP12" s="1">
        <v>20134.22</v>
      </c>
      <c r="AQ12" s="1">
        <v>13056.47</v>
      </c>
      <c r="AR12" s="24">
        <v>9625.22</v>
      </c>
      <c r="AS12" s="24">
        <v>19019.8</v>
      </c>
      <c r="AT12" s="1">
        <v>16828.59</v>
      </c>
      <c r="AU12" s="1">
        <v>9879.46</v>
      </c>
      <c r="AV12" s="24">
        <v>19358.59</v>
      </c>
      <c r="AW12" s="24">
        <v>9879.46</v>
      </c>
      <c r="AX12" s="45">
        <v>15868.93</v>
      </c>
      <c r="AY12" s="45">
        <v>21386.35</v>
      </c>
      <c r="AZ12" s="24">
        <v>16842.65</v>
      </c>
      <c r="BA12" s="24">
        <v>26582.92</v>
      </c>
      <c r="BB12" s="24">
        <v>30966.14</v>
      </c>
      <c r="BC12" s="24">
        <v>9879.46</v>
      </c>
      <c r="BD12" s="24">
        <v>9203.4</v>
      </c>
      <c r="BE12" s="24">
        <v>13768.97</v>
      </c>
      <c r="BF12" s="24">
        <v>14644.1</v>
      </c>
      <c r="BG12" s="24">
        <v>12898.86</v>
      </c>
      <c r="BH12" s="24">
        <v>13905.45</v>
      </c>
      <c r="BI12" s="24">
        <v>11269.58</v>
      </c>
      <c r="BJ12" s="9">
        <f t="shared" si="16"/>
        <v>190406.87</v>
      </c>
      <c r="BK12" s="9">
        <f t="shared" si="17"/>
        <v>168713.43999999997</v>
      </c>
      <c r="BL12" s="153">
        <f t="shared" si="18"/>
        <v>359120.30999999994</v>
      </c>
      <c r="BM12" s="154"/>
      <c r="BN12" s="154"/>
      <c r="BO12" s="154"/>
      <c r="BP12" s="154"/>
      <c r="BQ12" s="154"/>
      <c r="BR12" s="155">
        <f t="shared" si="19"/>
        <v>359120.30999999994</v>
      </c>
      <c r="BS12" s="198">
        <v>2575.95</v>
      </c>
      <c r="BT12" s="199">
        <v>4128</v>
      </c>
      <c r="BU12" s="20">
        <f t="shared" si="20"/>
        <v>287373.02400000003</v>
      </c>
      <c r="BV12" s="231">
        <v>291025.56</v>
      </c>
      <c r="BW12" s="229"/>
      <c r="BX12" s="230"/>
    </row>
    <row r="13" spans="1:76" ht="15.75" customHeight="1">
      <c r="A13" s="1">
        <v>6</v>
      </c>
      <c r="B13" s="1" t="s">
        <v>4</v>
      </c>
      <c r="C13" s="1">
        <v>3278.2</v>
      </c>
      <c r="D13" s="1">
        <v>168.2</v>
      </c>
      <c r="E13" s="1">
        <f t="shared" si="21"/>
        <v>3446.3999999999996</v>
      </c>
      <c r="F13" s="2">
        <v>15.18</v>
      </c>
      <c r="G13" s="2">
        <f t="shared" si="0"/>
        <v>52316.35199999999</v>
      </c>
      <c r="H13" s="2">
        <f t="shared" si="11"/>
        <v>313898.11199999996</v>
      </c>
      <c r="I13" s="2">
        <f t="shared" si="12"/>
        <v>15.18</v>
      </c>
      <c r="J13" s="2">
        <f t="shared" si="1"/>
        <v>52316.35199999999</v>
      </c>
      <c r="K13" s="2">
        <f t="shared" si="13"/>
        <v>313898.11199999996</v>
      </c>
      <c r="L13" s="97">
        <f t="shared" si="2"/>
        <v>627796.2239999999</v>
      </c>
      <c r="M13" s="109">
        <v>3.92</v>
      </c>
      <c r="N13" s="89">
        <f t="shared" si="3"/>
        <v>162118.656</v>
      </c>
      <c r="O13" s="64">
        <v>1.46</v>
      </c>
      <c r="P13" s="90">
        <f t="shared" si="4"/>
        <v>60380.928</v>
      </c>
      <c r="Q13" s="64"/>
      <c r="R13" s="90">
        <f t="shared" si="5"/>
        <v>0</v>
      </c>
      <c r="S13" s="64"/>
      <c r="T13" s="91">
        <f t="shared" si="6"/>
        <v>0</v>
      </c>
      <c r="U13" s="64">
        <v>0.44</v>
      </c>
      <c r="V13" s="90">
        <f t="shared" si="7"/>
        <v>18196.992</v>
      </c>
      <c r="W13" s="96"/>
      <c r="X13" s="91">
        <f t="shared" si="8"/>
        <v>0</v>
      </c>
      <c r="Y13" s="110">
        <f t="shared" si="14"/>
        <v>240696.57599999997</v>
      </c>
      <c r="Z13" s="32">
        <v>-643331.3</v>
      </c>
      <c r="AA13" s="12">
        <f t="shared" si="9"/>
        <v>-1.0247454116576529</v>
      </c>
      <c r="AB13" s="25">
        <f t="shared" si="10"/>
        <v>-15535.076000000117</v>
      </c>
      <c r="AC13" s="166">
        <v>70000</v>
      </c>
      <c r="AD13" s="8">
        <f t="shared" si="15"/>
        <v>-85535.07600000012</v>
      </c>
      <c r="AE13" s="167">
        <v>225259.58400000003</v>
      </c>
      <c r="AF13" s="168">
        <v>10941.79253094435</v>
      </c>
      <c r="AG13" s="168">
        <v>7829.8394690556515</v>
      </c>
      <c r="AH13" s="168">
        <v>131301.5103713322</v>
      </c>
      <c r="AI13" s="168">
        <v>93958.07362866781</v>
      </c>
      <c r="AJ13" s="78"/>
      <c r="AK13" s="26" t="s">
        <v>352</v>
      </c>
      <c r="AL13" s="45">
        <v>37576.69</v>
      </c>
      <c r="AM13" s="45">
        <v>9638.13</v>
      </c>
      <c r="AN13" s="2">
        <v>11303.34</v>
      </c>
      <c r="AO13" s="2">
        <v>13260.65</v>
      </c>
      <c r="AP13" s="1">
        <v>7660.5</v>
      </c>
      <c r="AQ13" s="1">
        <v>19598.35</v>
      </c>
      <c r="AR13" s="24">
        <v>14918.58</v>
      </c>
      <c r="AS13" s="24">
        <v>15855.11</v>
      </c>
      <c r="AT13" s="1">
        <v>16862.95</v>
      </c>
      <c r="AU13" s="1">
        <v>36960.88</v>
      </c>
      <c r="AV13" s="24">
        <v>16688.73</v>
      </c>
      <c r="AW13" s="24">
        <v>9638.13</v>
      </c>
      <c r="AX13" s="45">
        <v>15537.59</v>
      </c>
      <c r="AY13" s="45">
        <v>21218.59</v>
      </c>
      <c r="AZ13" s="24">
        <v>26077.95</v>
      </c>
      <c r="BA13" s="24">
        <v>20957.13</v>
      </c>
      <c r="BB13" s="24">
        <v>23388.86</v>
      </c>
      <c r="BC13" s="24">
        <v>15465.53</v>
      </c>
      <c r="BD13" s="24">
        <v>49594.26</v>
      </c>
      <c r="BE13" s="24">
        <v>18148.64</v>
      </c>
      <c r="BF13" s="24">
        <v>46995.01</v>
      </c>
      <c r="BG13" s="24">
        <v>13319.7</v>
      </c>
      <c r="BH13" s="24">
        <v>11003.09</v>
      </c>
      <c r="BI13" s="24">
        <v>9638.13</v>
      </c>
      <c r="BJ13" s="9">
        <f t="shared" si="16"/>
        <v>277607.55000000005</v>
      </c>
      <c r="BK13" s="9">
        <f t="shared" si="17"/>
        <v>203698.97000000003</v>
      </c>
      <c r="BL13" s="153">
        <f t="shared" si="18"/>
        <v>481306.5200000001</v>
      </c>
      <c r="BM13" s="154"/>
      <c r="BN13" s="154">
        <f>40500+43000+70122.98</f>
        <v>153622.97999999998</v>
      </c>
      <c r="BO13" s="154"/>
      <c r="BP13" s="154"/>
      <c r="BQ13" s="154"/>
      <c r="BR13" s="155">
        <f t="shared" si="19"/>
        <v>634929.5</v>
      </c>
      <c r="BS13" s="198">
        <v>2514.19</v>
      </c>
      <c r="BT13" s="199">
        <v>4128</v>
      </c>
      <c r="BU13" s="20">
        <f t="shared" si="20"/>
        <v>-647950.3860000002</v>
      </c>
      <c r="BV13" s="231">
        <v>211858.38</v>
      </c>
      <c r="BW13" s="229"/>
      <c r="BX13" s="230"/>
    </row>
    <row r="14" spans="1:76" ht="15.75" customHeight="1">
      <c r="A14" s="1">
        <v>7</v>
      </c>
      <c r="B14" s="1" t="s">
        <v>5</v>
      </c>
      <c r="C14" s="1">
        <v>3371.7</v>
      </c>
      <c r="D14" s="1">
        <v>62.4</v>
      </c>
      <c r="E14" s="1">
        <f t="shared" si="21"/>
        <v>3434.1</v>
      </c>
      <c r="F14" s="2">
        <v>15.18</v>
      </c>
      <c r="G14" s="2">
        <f t="shared" si="0"/>
        <v>52129.638</v>
      </c>
      <c r="H14" s="2">
        <f t="shared" si="11"/>
        <v>312777.828</v>
      </c>
      <c r="I14" s="2">
        <f t="shared" si="12"/>
        <v>15.18</v>
      </c>
      <c r="J14" s="2">
        <f t="shared" si="1"/>
        <v>52129.638</v>
      </c>
      <c r="K14" s="2">
        <f t="shared" si="13"/>
        <v>312777.828</v>
      </c>
      <c r="L14" s="97">
        <f t="shared" si="2"/>
        <v>625555.656</v>
      </c>
      <c r="M14" s="109">
        <v>3.92</v>
      </c>
      <c r="N14" s="89">
        <f t="shared" si="3"/>
        <v>161540.06399999998</v>
      </c>
      <c r="O14" s="64">
        <v>1.46</v>
      </c>
      <c r="P14" s="90">
        <f t="shared" si="4"/>
        <v>60165.432</v>
      </c>
      <c r="Q14" s="64"/>
      <c r="R14" s="90">
        <f t="shared" si="5"/>
        <v>0</v>
      </c>
      <c r="S14" s="64"/>
      <c r="T14" s="91">
        <f t="shared" si="6"/>
        <v>0</v>
      </c>
      <c r="U14" s="64">
        <v>0.44</v>
      </c>
      <c r="V14" s="90">
        <f t="shared" si="7"/>
        <v>18132.048</v>
      </c>
      <c r="W14" s="96"/>
      <c r="X14" s="91">
        <f t="shared" si="8"/>
        <v>0</v>
      </c>
      <c r="Y14" s="110">
        <f t="shared" si="14"/>
        <v>239837.544</v>
      </c>
      <c r="Z14" s="32">
        <v>-337708.01</v>
      </c>
      <c r="AA14" s="12">
        <f t="shared" si="9"/>
        <v>-0.5398528600307309</v>
      </c>
      <c r="AB14" s="25">
        <f t="shared" si="10"/>
        <v>287847.64599999995</v>
      </c>
      <c r="AC14" s="44"/>
      <c r="AD14" s="8">
        <f t="shared" si="15"/>
        <v>287847.64599999995</v>
      </c>
      <c r="AE14" s="167">
        <v>224465.49599999998</v>
      </c>
      <c r="AF14" s="168">
        <v>13767.339237986365</v>
      </c>
      <c r="AG14" s="168">
        <v>10219.964595346964</v>
      </c>
      <c r="AH14" s="168">
        <v>165208.07085583638</v>
      </c>
      <c r="AI14" s="168">
        <v>122639.57514416357</v>
      </c>
      <c r="AJ14" s="78"/>
      <c r="AK14" s="57"/>
      <c r="AL14" s="45">
        <v>7542.38</v>
      </c>
      <c r="AM14" s="45">
        <v>9605.09</v>
      </c>
      <c r="AN14" s="2">
        <v>6696.5</v>
      </c>
      <c r="AO14" s="2">
        <v>21111.33</v>
      </c>
      <c r="AP14" s="1">
        <v>6696.5</v>
      </c>
      <c r="AQ14" s="1">
        <v>13831.42</v>
      </c>
      <c r="AR14" s="24">
        <v>7635.16</v>
      </c>
      <c r="AS14" s="24">
        <v>25566.62</v>
      </c>
      <c r="AT14" s="1">
        <v>14251.52</v>
      </c>
      <c r="AU14" s="1">
        <v>19431.48</v>
      </c>
      <c r="AV14" s="24">
        <v>33192.23</v>
      </c>
      <c r="AW14" s="24">
        <v>12599.21</v>
      </c>
      <c r="AX14" s="45">
        <v>14251.52</v>
      </c>
      <c r="AY14" s="45">
        <v>20185.09</v>
      </c>
      <c r="AZ14" s="24">
        <v>14251.52</v>
      </c>
      <c r="BA14" s="24">
        <v>11896.64</v>
      </c>
      <c r="BB14" s="24">
        <v>16540.32</v>
      </c>
      <c r="BC14" s="24">
        <v>16995.73</v>
      </c>
      <c r="BD14" s="24">
        <v>16856.2</v>
      </c>
      <c r="BE14" s="24">
        <v>33006.65</v>
      </c>
      <c r="BF14" s="24">
        <v>8884.18</v>
      </c>
      <c r="BG14" s="24">
        <v>14132.49</v>
      </c>
      <c r="BH14" s="24">
        <v>6696.5</v>
      </c>
      <c r="BI14" s="24">
        <v>11169.91</v>
      </c>
      <c r="BJ14" s="9">
        <f t="shared" si="16"/>
        <v>153494.53000000003</v>
      </c>
      <c r="BK14" s="9">
        <f t="shared" si="17"/>
        <v>209531.66</v>
      </c>
      <c r="BL14" s="153">
        <f t="shared" si="18"/>
        <v>363026.19000000006</v>
      </c>
      <c r="BM14" s="154">
        <v>1000</v>
      </c>
      <c r="BN14" s="154">
        <v>200000</v>
      </c>
      <c r="BO14" s="154"/>
      <c r="BP14" s="154"/>
      <c r="BQ14" s="154"/>
      <c r="BR14" s="155">
        <f t="shared" si="19"/>
        <v>564026.1900000001</v>
      </c>
      <c r="BS14" s="198">
        <v>2506.89</v>
      </c>
      <c r="BT14" s="199"/>
      <c r="BU14" s="20">
        <f t="shared" si="20"/>
        <v>-273671.6540000001</v>
      </c>
      <c r="BV14" s="231">
        <v>275429</v>
      </c>
      <c r="BW14" s="229"/>
      <c r="BX14" s="230"/>
    </row>
    <row r="15" spans="1:76" ht="15.75" customHeight="1">
      <c r="A15" s="1">
        <v>8</v>
      </c>
      <c r="B15" s="1" t="s">
        <v>6</v>
      </c>
      <c r="C15" s="1">
        <v>3289.2</v>
      </c>
      <c r="D15" s="1">
        <v>113.1</v>
      </c>
      <c r="E15" s="1">
        <f t="shared" si="21"/>
        <v>3402.2999999999997</v>
      </c>
      <c r="F15" s="2">
        <v>15.18</v>
      </c>
      <c r="G15" s="2">
        <f t="shared" si="0"/>
        <v>51646.914</v>
      </c>
      <c r="H15" s="2">
        <f t="shared" si="11"/>
        <v>309881.484</v>
      </c>
      <c r="I15" s="2">
        <f t="shared" si="12"/>
        <v>15.18</v>
      </c>
      <c r="J15" s="2">
        <f t="shared" si="1"/>
        <v>51646.914</v>
      </c>
      <c r="K15" s="2">
        <f t="shared" si="13"/>
        <v>309881.484</v>
      </c>
      <c r="L15" s="97">
        <f t="shared" si="2"/>
        <v>619762.968</v>
      </c>
      <c r="M15" s="109">
        <v>3.92</v>
      </c>
      <c r="N15" s="89">
        <f t="shared" si="3"/>
        <v>160044.19199999998</v>
      </c>
      <c r="O15" s="64">
        <v>1.46</v>
      </c>
      <c r="P15" s="90">
        <f t="shared" si="4"/>
        <v>59608.29599999999</v>
      </c>
      <c r="Q15" s="64"/>
      <c r="R15" s="90">
        <f t="shared" si="5"/>
        <v>0</v>
      </c>
      <c r="S15" s="64"/>
      <c r="T15" s="91">
        <f t="shared" si="6"/>
        <v>0</v>
      </c>
      <c r="U15" s="64">
        <v>0.44</v>
      </c>
      <c r="V15" s="90">
        <f t="shared" si="7"/>
        <v>17964.144</v>
      </c>
      <c r="W15" s="96"/>
      <c r="X15" s="91">
        <f t="shared" si="8"/>
        <v>0</v>
      </c>
      <c r="Y15" s="110">
        <f t="shared" si="14"/>
        <v>237616.63199999995</v>
      </c>
      <c r="Z15" s="32"/>
      <c r="AA15" s="12">
        <f t="shared" si="9"/>
        <v>0</v>
      </c>
      <c r="AB15" s="25">
        <f t="shared" si="10"/>
        <v>619762.968</v>
      </c>
      <c r="AC15" s="44"/>
      <c r="AD15" s="8">
        <f t="shared" si="15"/>
        <v>619762.968</v>
      </c>
      <c r="AE15" s="167">
        <v>222412.48800000004</v>
      </c>
      <c r="AF15" s="168">
        <v>29791.195693780774</v>
      </c>
      <c r="AG15" s="168">
        <v>21855.71830621922</v>
      </c>
      <c r="AH15" s="168">
        <v>357494.3483253693</v>
      </c>
      <c r="AI15" s="168">
        <v>262268.61967463064</v>
      </c>
      <c r="AJ15" s="78"/>
      <c r="AK15" s="57"/>
      <c r="AL15" s="45">
        <v>7346.48</v>
      </c>
      <c r="AM15" s="45">
        <v>9518.28</v>
      </c>
      <c r="AN15" s="2">
        <v>6634.49</v>
      </c>
      <c r="AO15" s="2">
        <v>21107.53</v>
      </c>
      <c r="AP15" s="1">
        <v>8635.16</v>
      </c>
      <c r="AQ15" s="1">
        <v>9518.28</v>
      </c>
      <c r="AR15" s="24">
        <v>7260.35</v>
      </c>
      <c r="AS15" s="24">
        <v>32121.45</v>
      </c>
      <c r="AT15" s="1">
        <v>14119.55</v>
      </c>
      <c r="AU15" s="1">
        <v>9797.06</v>
      </c>
      <c r="AV15" s="24">
        <v>14119.55</v>
      </c>
      <c r="AW15" s="24">
        <v>9518.28</v>
      </c>
      <c r="AX15" s="45">
        <v>14119.55</v>
      </c>
      <c r="AY15" s="45">
        <v>38981.08</v>
      </c>
      <c r="AZ15" s="24">
        <v>37871.58</v>
      </c>
      <c r="BA15" s="24">
        <v>11018.28</v>
      </c>
      <c r="BB15" s="24">
        <v>33432.36</v>
      </c>
      <c r="BC15" s="24">
        <v>36906.29</v>
      </c>
      <c r="BD15" s="24">
        <v>9946.46</v>
      </c>
      <c r="BE15" s="24">
        <v>36480.07</v>
      </c>
      <c r="BF15" s="24">
        <v>45176.54</v>
      </c>
      <c r="BG15" s="24">
        <v>14045.68</v>
      </c>
      <c r="BH15" s="24">
        <v>8808</v>
      </c>
      <c r="BI15" s="24">
        <v>46432.19</v>
      </c>
      <c r="BJ15" s="9">
        <f t="shared" si="16"/>
        <v>207470.07</v>
      </c>
      <c r="BK15" s="9">
        <f t="shared" si="17"/>
        <v>275444.47</v>
      </c>
      <c r="BL15" s="153">
        <f t="shared" si="18"/>
        <v>482914.54</v>
      </c>
      <c r="BM15" s="154"/>
      <c r="BN15" s="154"/>
      <c r="BO15" s="154"/>
      <c r="BP15" s="154"/>
      <c r="BQ15" s="154"/>
      <c r="BR15" s="155">
        <f t="shared" si="19"/>
        <v>482914.54</v>
      </c>
      <c r="BS15" s="198">
        <v>2482.44</v>
      </c>
      <c r="BT15" s="199"/>
      <c r="BU15" s="20">
        <f t="shared" si="20"/>
        <v>139330.86800000002</v>
      </c>
      <c r="BV15" s="231">
        <v>176009.16</v>
      </c>
      <c r="BW15" s="229"/>
      <c r="BX15" s="230"/>
    </row>
    <row r="16" spans="1:76" ht="14.25" customHeight="1">
      <c r="A16" s="1">
        <v>9</v>
      </c>
      <c r="B16" s="1" t="s">
        <v>7</v>
      </c>
      <c r="C16" s="1">
        <v>3401.9</v>
      </c>
      <c r="D16" s="1">
        <v>0</v>
      </c>
      <c r="E16" s="1">
        <f t="shared" si="21"/>
        <v>3401.9</v>
      </c>
      <c r="F16" s="2">
        <v>15.18</v>
      </c>
      <c r="G16" s="2">
        <f t="shared" si="0"/>
        <v>51640.842</v>
      </c>
      <c r="H16" s="2">
        <f t="shared" si="11"/>
        <v>309845.05199999997</v>
      </c>
      <c r="I16" s="2">
        <f t="shared" si="12"/>
        <v>15.18</v>
      </c>
      <c r="J16" s="2">
        <f t="shared" si="1"/>
        <v>51640.842</v>
      </c>
      <c r="K16" s="2">
        <f t="shared" si="13"/>
        <v>309845.05199999997</v>
      </c>
      <c r="L16" s="97">
        <f t="shared" si="2"/>
        <v>619690.1039999999</v>
      </c>
      <c r="M16" s="109">
        <v>3.92</v>
      </c>
      <c r="N16" s="89">
        <f t="shared" si="3"/>
        <v>160025.376</v>
      </c>
      <c r="O16" s="64">
        <v>1.46</v>
      </c>
      <c r="P16" s="90">
        <f t="shared" si="4"/>
        <v>59601.288</v>
      </c>
      <c r="Q16" s="64"/>
      <c r="R16" s="90">
        <f t="shared" si="5"/>
        <v>0</v>
      </c>
      <c r="S16" s="64"/>
      <c r="T16" s="91">
        <f t="shared" si="6"/>
        <v>0</v>
      </c>
      <c r="U16" s="64">
        <v>0.44</v>
      </c>
      <c r="V16" s="90">
        <f t="shared" si="7"/>
        <v>17962.032</v>
      </c>
      <c r="W16" s="96"/>
      <c r="X16" s="91">
        <f t="shared" si="8"/>
        <v>0</v>
      </c>
      <c r="Y16" s="110">
        <f t="shared" si="14"/>
        <v>237588.696</v>
      </c>
      <c r="Z16" s="32"/>
      <c r="AA16" s="12">
        <f t="shared" si="9"/>
        <v>0</v>
      </c>
      <c r="AB16" s="25">
        <f t="shared" si="10"/>
        <v>619690.1039999999</v>
      </c>
      <c r="AC16" s="44"/>
      <c r="AD16" s="8">
        <f t="shared" si="15"/>
        <v>619690.1039999999</v>
      </c>
      <c r="AE16" s="167">
        <v>222386.66400000002</v>
      </c>
      <c r="AF16" s="168">
        <v>29924.34213330227</v>
      </c>
      <c r="AG16" s="168">
        <v>21716.49986669772</v>
      </c>
      <c r="AH16" s="168">
        <v>359092.10559962725</v>
      </c>
      <c r="AI16" s="168">
        <v>260597.99840037263</v>
      </c>
      <c r="AJ16" s="78"/>
      <c r="AK16" s="57"/>
      <c r="AL16" s="45">
        <v>7344.72</v>
      </c>
      <c r="AM16" s="45">
        <v>9515.82</v>
      </c>
      <c r="AN16" s="2">
        <v>8915.19</v>
      </c>
      <c r="AO16" s="2">
        <v>10849.01</v>
      </c>
      <c r="AP16" s="1">
        <v>6632.73</v>
      </c>
      <c r="AQ16" s="1">
        <v>11505.1</v>
      </c>
      <c r="AR16" s="24">
        <v>12840.15</v>
      </c>
      <c r="AS16" s="24">
        <v>10791.82</v>
      </c>
      <c r="AT16" s="1">
        <v>14115.81</v>
      </c>
      <c r="AU16" s="1">
        <v>11110.6</v>
      </c>
      <c r="AV16" s="24">
        <v>112740.81</v>
      </c>
      <c r="AW16" s="24">
        <v>9515.82</v>
      </c>
      <c r="AX16" s="45">
        <v>29016.31</v>
      </c>
      <c r="AY16" s="45">
        <v>22523.21</v>
      </c>
      <c r="AZ16" s="24">
        <v>14115.81</v>
      </c>
      <c r="BA16" s="24">
        <v>11015.82</v>
      </c>
      <c r="BB16" s="24">
        <v>51661.56</v>
      </c>
      <c r="BC16" s="24">
        <v>12535.22</v>
      </c>
      <c r="BD16" s="24">
        <v>6632.73</v>
      </c>
      <c r="BE16" s="24">
        <v>14228.54</v>
      </c>
      <c r="BF16" s="24">
        <v>10980.41</v>
      </c>
      <c r="BG16" s="24">
        <v>14043.22</v>
      </c>
      <c r="BH16" s="24">
        <v>7610</v>
      </c>
      <c r="BI16" s="24">
        <v>10210.94</v>
      </c>
      <c r="BJ16" s="9">
        <f t="shared" si="16"/>
        <v>282606.23</v>
      </c>
      <c r="BK16" s="9">
        <f t="shared" si="17"/>
        <v>147845.12000000002</v>
      </c>
      <c r="BL16" s="153">
        <f t="shared" si="18"/>
        <v>430451.35</v>
      </c>
      <c r="BM16" s="154"/>
      <c r="BN16" s="154"/>
      <c r="BO16" s="154"/>
      <c r="BP16" s="154"/>
      <c r="BQ16" s="154"/>
      <c r="BR16" s="155">
        <f t="shared" si="19"/>
        <v>430451.35</v>
      </c>
      <c r="BS16" s="198">
        <v>2481.2</v>
      </c>
      <c r="BT16" s="199">
        <v>4128</v>
      </c>
      <c r="BU16" s="20">
        <f t="shared" si="20"/>
        <v>191719.95399999997</v>
      </c>
      <c r="BV16" s="231">
        <v>182600.1</v>
      </c>
      <c r="BW16" s="229"/>
      <c r="BX16" s="230"/>
    </row>
    <row r="17" spans="1:76" ht="15.75" customHeight="1">
      <c r="A17" s="1">
        <v>10</v>
      </c>
      <c r="B17" s="1" t="s">
        <v>8</v>
      </c>
      <c r="C17" s="1">
        <v>6079.9</v>
      </c>
      <c r="D17" s="1">
        <v>0</v>
      </c>
      <c r="E17" s="1">
        <f t="shared" si="21"/>
        <v>6079.9</v>
      </c>
      <c r="F17" s="2">
        <v>15.87</v>
      </c>
      <c r="G17" s="2">
        <f t="shared" si="0"/>
        <v>96488.01299999999</v>
      </c>
      <c r="H17" s="2">
        <f t="shared" si="11"/>
        <v>578928.078</v>
      </c>
      <c r="I17" s="2">
        <f t="shared" si="12"/>
        <v>15.87</v>
      </c>
      <c r="J17" s="2">
        <f t="shared" si="1"/>
        <v>96488.01299999999</v>
      </c>
      <c r="K17" s="2">
        <f t="shared" si="13"/>
        <v>578928.078</v>
      </c>
      <c r="L17" s="97">
        <f t="shared" si="2"/>
        <v>1157856.156</v>
      </c>
      <c r="M17" s="109">
        <v>3.92</v>
      </c>
      <c r="N17" s="89">
        <f t="shared" si="3"/>
        <v>285998.496</v>
      </c>
      <c r="O17" s="64">
        <v>1.46</v>
      </c>
      <c r="P17" s="90">
        <f t="shared" si="4"/>
        <v>106519.84799999998</v>
      </c>
      <c r="Q17" s="64"/>
      <c r="R17" s="90">
        <f t="shared" si="5"/>
        <v>0</v>
      </c>
      <c r="S17" s="64"/>
      <c r="T17" s="91">
        <f t="shared" si="6"/>
        <v>0</v>
      </c>
      <c r="U17" s="64">
        <v>0.3</v>
      </c>
      <c r="V17" s="90">
        <f t="shared" si="7"/>
        <v>21887.64</v>
      </c>
      <c r="W17" s="96"/>
      <c r="X17" s="91">
        <f t="shared" si="8"/>
        <v>0</v>
      </c>
      <c r="Y17" s="110">
        <f t="shared" si="14"/>
        <v>414405.984</v>
      </c>
      <c r="Z17" s="32">
        <v>-913761.16</v>
      </c>
      <c r="AA17" s="12">
        <f t="shared" si="9"/>
        <v>-0.7891836609106391</v>
      </c>
      <c r="AB17" s="25">
        <f t="shared" si="10"/>
        <v>244094.99599999993</v>
      </c>
      <c r="AC17" s="44"/>
      <c r="AD17" s="8">
        <f t="shared" si="15"/>
        <v>244094.99599999993</v>
      </c>
      <c r="AE17" s="167">
        <v>398038.34400000004</v>
      </c>
      <c r="AF17" s="168">
        <v>11373.383177057016</v>
      </c>
      <c r="AG17" s="168">
        <v>8967.866489609645</v>
      </c>
      <c r="AH17" s="168">
        <v>136480.59812468418</v>
      </c>
      <c r="AI17" s="168">
        <v>107614.39787531574</v>
      </c>
      <c r="AJ17" s="78"/>
      <c r="AK17" s="58"/>
      <c r="AL17" s="45">
        <v>16456.27</v>
      </c>
      <c r="AM17" s="45">
        <v>19222.17</v>
      </c>
      <c r="AN17" s="2">
        <v>87038.39</v>
      </c>
      <c r="AO17" s="2">
        <v>44949.47</v>
      </c>
      <c r="AP17" s="1">
        <v>13752.63</v>
      </c>
      <c r="AQ17" s="1">
        <v>35578.24</v>
      </c>
      <c r="AR17" s="24">
        <v>29790.91</v>
      </c>
      <c r="AS17" s="24">
        <v>20819.95</v>
      </c>
      <c r="AT17" s="1">
        <v>35866.89</v>
      </c>
      <c r="AU17" s="1">
        <v>27000.41</v>
      </c>
      <c r="AV17" s="24">
        <v>28479.08</v>
      </c>
      <c r="AW17" s="24">
        <v>66633.1</v>
      </c>
      <c r="AX17" s="45">
        <v>60959.84</v>
      </c>
      <c r="AY17" s="45">
        <v>122556.34</v>
      </c>
      <c r="AZ17" s="24">
        <v>52187.05</v>
      </c>
      <c r="BA17" s="24">
        <v>92807.52</v>
      </c>
      <c r="BB17" s="24">
        <v>31729</v>
      </c>
      <c r="BC17" s="24">
        <v>30589.3</v>
      </c>
      <c r="BD17" s="24">
        <v>12274.54</v>
      </c>
      <c r="BE17" s="24">
        <v>37637.78</v>
      </c>
      <c r="BF17" s="24">
        <v>30391.66</v>
      </c>
      <c r="BG17" s="24">
        <v>20122.52</v>
      </c>
      <c r="BH17" s="24">
        <v>15984.94</v>
      </c>
      <c r="BI17" s="24">
        <v>17058.13</v>
      </c>
      <c r="BJ17" s="9">
        <f t="shared" si="16"/>
        <v>414911.19999999995</v>
      </c>
      <c r="BK17" s="9">
        <f t="shared" si="17"/>
        <v>534974.93</v>
      </c>
      <c r="BL17" s="153">
        <f t="shared" si="18"/>
        <v>949886.13</v>
      </c>
      <c r="BM17" s="154"/>
      <c r="BN17" s="154">
        <f>39298.16+3000</f>
        <v>42298.16</v>
      </c>
      <c r="BO17" s="154"/>
      <c r="BP17" s="154"/>
      <c r="BQ17" s="154"/>
      <c r="BR17" s="155">
        <f t="shared" si="19"/>
        <v>992184.29</v>
      </c>
      <c r="BS17" s="198">
        <v>4440.23</v>
      </c>
      <c r="BT17" s="199">
        <v>8256</v>
      </c>
      <c r="BU17" s="20">
        <f t="shared" si="20"/>
        <v>-743649.0640000001</v>
      </c>
      <c r="BV17" s="231">
        <v>792519.86</v>
      </c>
      <c r="BW17" s="229"/>
      <c r="BX17" s="230"/>
    </row>
    <row r="18" spans="1:76" ht="15.75" customHeight="1">
      <c r="A18" s="1">
        <v>11</v>
      </c>
      <c r="B18" s="18" t="s">
        <v>314</v>
      </c>
      <c r="C18" s="1">
        <v>4248.8</v>
      </c>
      <c r="D18" s="1">
        <v>0</v>
      </c>
      <c r="E18" s="1">
        <f t="shared" si="21"/>
        <v>4248.8</v>
      </c>
      <c r="F18" s="2">
        <v>15.18</v>
      </c>
      <c r="G18" s="2">
        <f t="shared" si="0"/>
        <v>64496.784</v>
      </c>
      <c r="H18" s="2">
        <f t="shared" si="11"/>
        <v>386980.704</v>
      </c>
      <c r="I18" s="2">
        <f t="shared" si="12"/>
        <v>15.18</v>
      </c>
      <c r="J18" s="2">
        <f t="shared" si="1"/>
        <v>64496.784</v>
      </c>
      <c r="K18" s="2">
        <f t="shared" si="13"/>
        <v>386980.704</v>
      </c>
      <c r="L18" s="97">
        <f t="shared" si="2"/>
        <v>773961.408</v>
      </c>
      <c r="M18" s="109">
        <v>3.92</v>
      </c>
      <c r="N18" s="89">
        <f t="shared" si="3"/>
        <v>199863.55200000003</v>
      </c>
      <c r="O18" s="64">
        <v>1.46</v>
      </c>
      <c r="P18" s="90">
        <f t="shared" si="4"/>
        <v>74438.97600000001</v>
      </c>
      <c r="Q18" s="64"/>
      <c r="R18" s="90">
        <f t="shared" si="5"/>
        <v>0</v>
      </c>
      <c r="S18" s="64"/>
      <c r="T18" s="91">
        <f t="shared" si="6"/>
        <v>0</v>
      </c>
      <c r="U18" s="64">
        <v>0.35</v>
      </c>
      <c r="V18" s="90">
        <f t="shared" si="7"/>
        <v>17844.96</v>
      </c>
      <c r="W18" s="96"/>
      <c r="X18" s="91">
        <f t="shared" si="8"/>
        <v>0</v>
      </c>
      <c r="Y18" s="110">
        <f t="shared" si="14"/>
        <v>292147.48800000007</v>
      </c>
      <c r="Z18" s="32"/>
      <c r="AA18" s="12">
        <f t="shared" si="9"/>
        <v>0</v>
      </c>
      <c r="AB18" s="25">
        <f t="shared" si="10"/>
        <v>773961.408</v>
      </c>
      <c r="AC18" s="44"/>
      <c r="AD18" s="8">
        <f t="shared" si="15"/>
        <v>773961.408</v>
      </c>
      <c r="AE18" s="167">
        <v>279822.52800000005</v>
      </c>
      <c r="AF18" s="168">
        <v>0</v>
      </c>
      <c r="AG18" s="168">
        <v>64496.78400000001</v>
      </c>
      <c r="AH18" s="168">
        <v>0</v>
      </c>
      <c r="AI18" s="168">
        <v>773961.408</v>
      </c>
      <c r="AJ18" s="78"/>
      <c r="AK18" s="57"/>
      <c r="AL18" s="45">
        <v>0</v>
      </c>
      <c r="AM18" s="45">
        <v>20531.63</v>
      </c>
      <c r="AN18" s="2">
        <v>0</v>
      </c>
      <c r="AO18" s="2">
        <v>54786.78</v>
      </c>
      <c r="AP18" s="1">
        <v>0</v>
      </c>
      <c r="AQ18" s="1">
        <v>35102.73</v>
      </c>
      <c r="AR18" s="24">
        <v>0</v>
      </c>
      <c r="AS18" s="24">
        <v>24845.06</v>
      </c>
      <c r="AT18" s="1">
        <v>0</v>
      </c>
      <c r="AU18" s="1">
        <v>27604.77</v>
      </c>
      <c r="AV18" s="24">
        <v>0</v>
      </c>
      <c r="AW18" s="24">
        <v>32501.8</v>
      </c>
      <c r="AX18" s="45">
        <v>0</v>
      </c>
      <c r="AY18" s="45">
        <v>37492.7</v>
      </c>
      <c r="AZ18" s="24">
        <v>0</v>
      </c>
      <c r="BA18" s="24">
        <v>39170.58</v>
      </c>
      <c r="BB18" s="24">
        <v>0</v>
      </c>
      <c r="BC18" s="24">
        <v>48018.28</v>
      </c>
      <c r="BD18" s="24">
        <v>0</v>
      </c>
      <c r="BE18" s="24">
        <v>22266.46</v>
      </c>
      <c r="BF18" s="24">
        <v>0</v>
      </c>
      <c r="BG18" s="24">
        <v>27422.8</v>
      </c>
      <c r="BH18" s="24">
        <v>0</v>
      </c>
      <c r="BI18" s="24">
        <v>23567.06</v>
      </c>
      <c r="BJ18" s="9">
        <f t="shared" si="16"/>
        <v>0</v>
      </c>
      <c r="BK18" s="9">
        <f t="shared" si="17"/>
        <v>393310.64999999997</v>
      </c>
      <c r="BL18" s="153">
        <f t="shared" si="18"/>
        <v>393310.64999999997</v>
      </c>
      <c r="BM18" s="154"/>
      <c r="BN18" s="154"/>
      <c r="BO18" s="154"/>
      <c r="BP18" s="154"/>
      <c r="BQ18" s="154"/>
      <c r="BR18" s="155">
        <f t="shared" si="19"/>
        <v>393310.64999999997</v>
      </c>
      <c r="BS18" s="198">
        <v>6203.25</v>
      </c>
      <c r="BT18" s="199">
        <v>13836</v>
      </c>
      <c r="BU18" s="20">
        <f t="shared" si="20"/>
        <v>386854.0080000001</v>
      </c>
      <c r="BV18" s="231">
        <v>661162.26</v>
      </c>
      <c r="BW18" s="229"/>
      <c r="BX18" s="230"/>
    </row>
    <row r="19" spans="1:76" ht="15.75" customHeight="1">
      <c r="A19" s="1">
        <v>12</v>
      </c>
      <c r="B19" s="1" t="s">
        <v>9</v>
      </c>
      <c r="C19" s="1">
        <v>1325.4</v>
      </c>
      <c r="D19" s="1">
        <v>0</v>
      </c>
      <c r="E19" s="1">
        <f aca="true" t="shared" si="22" ref="E19:E41">C19+D19</f>
        <v>1325.4</v>
      </c>
      <c r="F19" s="2">
        <v>13.78</v>
      </c>
      <c r="G19" s="2">
        <f t="shared" si="0"/>
        <v>18264.012</v>
      </c>
      <c r="H19" s="2">
        <f t="shared" si="11"/>
        <v>109584.07199999999</v>
      </c>
      <c r="I19" s="2">
        <f t="shared" si="12"/>
        <v>13.78</v>
      </c>
      <c r="J19" s="2">
        <f t="shared" si="1"/>
        <v>18264.012</v>
      </c>
      <c r="K19" s="2">
        <f t="shared" si="13"/>
        <v>109584.07199999999</v>
      </c>
      <c r="L19" s="97">
        <f t="shared" si="2"/>
        <v>219168.14399999997</v>
      </c>
      <c r="M19" s="109">
        <v>3.92</v>
      </c>
      <c r="N19" s="89">
        <f t="shared" si="3"/>
        <v>62346.816000000006</v>
      </c>
      <c r="O19" s="64">
        <v>1.46</v>
      </c>
      <c r="P19" s="90">
        <f t="shared" si="4"/>
        <v>23221.008</v>
      </c>
      <c r="Q19" s="64"/>
      <c r="R19" s="90">
        <f t="shared" si="5"/>
        <v>0</v>
      </c>
      <c r="S19" s="64"/>
      <c r="T19" s="91">
        <f t="shared" si="6"/>
        <v>0</v>
      </c>
      <c r="U19" s="64">
        <v>0</v>
      </c>
      <c r="V19" s="90">
        <f t="shared" si="7"/>
        <v>0</v>
      </c>
      <c r="W19" s="96"/>
      <c r="X19" s="91">
        <f t="shared" si="8"/>
        <v>0</v>
      </c>
      <c r="Y19" s="110">
        <f t="shared" si="14"/>
        <v>85567.82400000001</v>
      </c>
      <c r="Z19" s="32"/>
      <c r="AA19" s="12">
        <f t="shared" si="9"/>
        <v>0</v>
      </c>
      <c r="AB19" s="25">
        <f t="shared" si="10"/>
        <v>219168.14399999997</v>
      </c>
      <c r="AC19" s="44"/>
      <c r="AD19" s="8">
        <f t="shared" si="15"/>
        <v>219168.14399999997</v>
      </c>
      <c r="AE19" s="167">
        <v>88327.82400000001</v>
      </c>
      <c r="AF19" s="168">
        <v>0</v>
      </c>
      <c r="AG19" s="168">
        <v>18264.012</v>
      </c>
      <c r="AH19" s="168">
        <v>0</v>
      </c>
      <c r="AI19" s="168">
        <v>219168.14399999997</v>
      </c>
      <c r="AJ19" s="78"/>
      <c r="AK19" s="57"/>
      <c r="AL19" s="45">
        <v>0</v>
      </c>
      <c r="AM19" s="45">
        <v>10706.33</v>
      </c>
      <c r="AN19" s="2">
        <v>0</v>
      </c>
      <c r="AO19" s="2">
        <v>13883.98</v>
      </c>
      <c r="AP19" s="1">
        <v>0</v>
      </c>
      <c r="AQ19" s="1">
        <v>44491.88</v>
      </c>
      <c r="AR19" s="24">
        <v>0</v>
      </c>
      <c r="AS19" s="24">
        <v>7948.81</v>
      </c>
      <c r="AT19" s="1">
        <v>0</v>
      </c>
      <c r="AU19" s="1">
        <v>64177.27</v>
      </c>
      <c r="AV19" s="24">
        <v>0</v>
      </c>
      <c r="AW19" s="24">
        <v>13990.79</v>
      </c>
      <c r="AX19" s="45">
        <v>0</v>
      </c>
      <c r="AY19" s="45">
        <v>36488.64</v>
      </c>
      <c r="AZ19" s="24">
        <v>0</v>
      </c>
      <c r="BA19" s="24">
        <v>8288.43</v>
      </c>
      <c r="BB19" s="24">
        <v>0</v>
      </c>
      <c r="BC19" s="24">
        <v>17876.99</v>
      </c>
      <c r="BD19" s="24">
        <v>0</v>
      </c>
      <c r="BE19" s="24">
        <v>21337.25</v>
      </c>
      <c r="BF19" s="24">
        <v>0</v>
      </c>
      <c r="BG19" s="24">
        <v>21909.18</v>
      </c>
      <c r="BH19" s="24">
        <v>0</v>
      </c>
      <c r="BI19" s="24">
        <v>6234.06</v>
      </c>
      <c r="BJ19" s="9">
        <f t="shared" si="16"/>
        <v>0</v>
      </c>
      <c r="BK19" s="9">
        <f t="shared" si="17"/>
        <v>267333.61</v>
      </c>
      <c r="BL19" s="153">
        <f t="shared" si="18"/>
        <v>267333.61</v>
      </c>
      <c r="BM19" s="154"/>
      <c r="BN19" s="154"/>
      <c r="BO19" s="154"/>
      <c r="BP19" s="154"/>
      <c r="BQ19" s="154"/>
      <c r="BR19" s="155">
        <f t="shared" si="19"/>
        <v>267333.61</v>
      </c>
      <c r="BS19" s="198">
        <v>2902.63</v>
      </c>
      <c r="BT19" s="199"/>
      <c r="BU19" s="20">
        <f t="shared" si="20"/>
        <v>-45262.83600000002</v>
      </c>
      <c r="BV19" s="231">
        <v>152423.13</v>
      </c>
      <c r="BW19" s="229"/>
      <c r="BX19" s="230"/>
    </row>
    <row r="20" spans="1:76" ht="15.75" customHeight="1">
      <c r="A20" s="1">
        <v>13</v>
      </c>
      <c r="B20" s="1" t="s">
        <v>10</v>
      </c>
      <c r="C20" s="1">
        <v>499</v>
      </c>
      <c r="D20" s="1">
        <v>0</v>
      </c>
      <c r="E20" s="1">
        <f t="shared" si="22"/>
        <v>499</v>
      </c>
      <c r="F20" s="2">
        <v>13.78</v>
      </c>
      <c r="G20" s="2">
        <f t="shared" si="0"/>
        <v>6876.219999999999</v>
      </c>
      <c r="H20" s="2">
        <f t="shared" si="11"/>
        <v>41257.31999999999</v>
      </c>
      <c r="I20" s="2">
        <f t="shared" si="12"/>
        <v>13.78</v>
      </c>
      <c r="J20" s="2">
        <f t="shared" si="1"/>
        <v>6876.219999999999</v>
      </c>
      <c r="K20" s="2">
        <f t="shared" si="13"/>
        <v>41257.31999999999</v>
      </c>
      <c r="L20" s="97">
        <f t="shared" si="2"/>
        <v>82514.63999999998</v>
      </c>
      <c r="M20" s="109">
        <v>3.92</v>
      </c>
      <c r="N20" s="89">
        <f t="shared" si="3"/>
        <v>23472.96</v>
      </c>
      <c r="O20" s="64">
        <v>1.46</v>
      </c>
      <c r="P20" s="90">
        <f t="shared" si="4"/>
        <v>8742.48</v>
      </c>
      <c r="Q20" s="64"/>
      <c r="R20" s="90">
        <f t="shared" si="5"/>
        <v>0</v>
      </c>
      <c r="S20" s="64"/>
      <c r="T20" s="91">
        <f t="shared" si="6"/>
        <v>0</v>
      </c>
      <c r="U20" s="64">
        <v>0</v>
      </c>
      <c r="V20" s="90">
        <f t="shared" si="7"/>
        <v>0</v>
      </c>
      <c r="W20" s="96"/>
      <c r="X20" s="91">
        <f t="shared" si="8"/>
        <v>0</v>
      </c>
      <c r="Y20" s="110">
        <f t="shared" si="14"/>
        <v>32215.44</v>
      </c>
      <c r="Z20" s="32"/>
      <c r="AA20" s="12">
        <f t="shared" si="9"/>
        <v>0</v>
      </c>
      <c r="AB20" s="25">
        <f t="shared" si="10"/>
        <v>82514.63999999998</v>
      </c>
      <c r="AC20" s="44"/>
      <c r="AD20" s="8">
        <f t="shared" si="15"/>
        <v>82514.63999999998</v>
      </c>
      <c r="AE20" s="167">
        <v>19047.36</v>
      </c>
      <c r="AF20" s="168">
        <v>0</v>
      </c>
      <c r="AG20" s="168">
        <v>6876.219999999998</v>
      </c>
      <c r="AH20" s="168">
        <v>0</v>
      </c>
      <c r="AI20" s="168">
        <v>82514.63999999998</v>
      </c>
      <c r="AJ20" s="78" t="s">
        <v>296</v>
      </c>
      <c r="AK20" s="57"/>
      <c r="AL20" s="45">
        <v>0</v>
      </c>
      <c r="AM20" s="45">
        <v>1592.27</v>
      </c>
      <c r="AN20" s="2">
        <v>0</v>
      </c>
      <c r="AO20" s="2">
        <v>51525.46</v>
      </c>
      <c r="AP20" s="1">
        <v>0</v>
      </c>
      <c r="AQ20" s="1">
        <v>23161.46</v>
      </c>
      <c r="AR20" s="24">
        <v>0</v>
      </c>
      <c r="AS20" s="24">
        <v>2868.27</v>
      </c>
      <c r="AT20" s="1">
        <v>0</v>
      </c>
      <c r="AU20" s="1">
        <v>2843.98</v>
      </c>
      <c r="AV20" s="24">
        <v>0</v>
      </c>
      <c r="AW20" s="24">
        <v>1896.02</v>
      </c>
      <c r="AX20" s="45">
        <v>0</v>
      </c>
      <c r="AY20" s="45">
        <v>1592.27</v>
      </c>
      <c r="AZ20" s="24">
        <v>0</v>
      </c>
      <c r="BA20" s="24">
        <v>1592.27</v>
      </c>
      <c r="BB20" s="24">
        <v>0</v>
      </c>
      <c r="BC20" s="24">
        <v>13858.85</v>
      </c>
      <c r="BD20" s="24">
        <v>0</v>
      </c>
      <c r="BE20" s="24">
        <v>4611.67</v>
      </c>
      <c r="BF20" s="24">
        <v>0</v>
      </c>
      <c r="BG20" s="24">
        <v>7364.22</v>
      </c>
      <c r="BH20" s="24">
        <v>0</v>
      </c>
      <c r="BI20" s="24">
        <v>1592.27</v>
      </c>
      <c r="BJ20" s="9">
        <f t="shared" si="16"/>
        <v>0</v>
      </c>
      <c r="BK20" s="9">
        <f t="shared" si="17"/>
        <v>114499.01000000002</v>
      </c>
      <c r="BL20" s="153">
        <f t="shared" si="18"/>
        <v>114499.01000000002</v>
      </c>
      <c r="BM20" s="154"/>
      <c r="BN20" s="154"/>
      <c r="BO20" s="154"/>
      <c r="BP20" s="154"/>
      <c r="BQ20" s="154"/>
      <c r="BR20" s="155">
        <f t="shared" si="19"/>
        <v>114499.01000000002</v>
      </c>
      <c r="BS20" s="198">
        <v>1092.81</v>
      </c>
      <c r="BT20" s="199"/>
      <c r="BU20" s="20">
        <f t="shared" si="20"/>
        <v>-30891.560000000038</v>
      </c>
      <c r="BV20" s="231">
        <v>10667.15</v>
      </c>
      <c r="BW20" s="229"/>
      <c r="BX20" s="230"/>
    </row>
    <row r="21" spans="1:76" ht="15.75" customHeight="1">
      <c r="A21" s="1">
        <v>14</v>
      </c>
      <c r="B21" s="1" t="s">
        <v>11</v>
      </c>
      <c r="C21" s="27">
        <v>4618.1</v>
      </c>
      <c r="D21" s="1">
        <v>42.6</v>
      </c>
      <c r="E21" s="1">
        <f t="shared" si="22"/>
        <v>4660.700000000001</v>
      </c>
      <c r="F21" s="2">
        <v>15.13</v>
      </c>
      <c r="G21" s="2">
        <f t="shared" si="0"/>
        <v>70516.39100000002</v>
      </c>
      <c r="H21" s="2">
        <f t="shared" si="11"/>
        <v>423098.34600000014</v>
      </c>
      <c r="I21" s="2">
        <f t="shared" si="12"/>
        <v>15.13</v>
      </c>
      <c r="J21" s="2">
        <f t="shared" si="1"/>
        <v>70516.39100000002</v>
      </c>
      <c r="K21" s="2">
        <f t="shared" si="13"/>
        <v>423098.34600000014</v>
      </c>
      <c r="L21" s="97">
        <f t="shared" si="2"/>
        <v>846196.6920000003</v>
      </c>
      <c r="M21" s="109">
        <v>3.92</v>
      </c>
      <c r="N21" s="89">
        <f t="shared" si="3"/>
        <v>219239.32800000004</v>
      </c>
      <c r="O21" s="64">
        <v>1.46</v>
      </c>
      <c r="P21" s="90">
        <f t="shared" si="4"/>
        <v>81655.464</v>
      </c>
      <c r="Q21" s="64"/>
      <c r="R21" s="90">
        <f t="shared" si="5"/>
        <v>0</v>
      </c>
      <c r="S21" s="64"/>
      <c r="T21" s="91">
        <f t="shared" si="6"/>
        <v>0</v>
      </c>
      <c r="U21" s="64">
        <v>0.32</v>
      </c>
      <c r="V21" s="90">
        <f t="shared" si="7"/>
        <v>17897.088000000003</v>
      </c>
      <c r="W21" s="96"/>
      <c r="X21" s="91">
        <f t="shared" si="8"/>
        <v>0</v>
      </c>
      <c r="Y21" s="110">
        <f t="shared" si="14"/>
        <v>318791.88</v>
      </c>
      <c r="Z21" s="32">
        <v>-71669.71</v>
      </c>
      <c r="AA21" s="12">
        <f t="shared" si="9"/>
        <v>-0.0846962776829196</v>
      </c>
      <c r="AB21" s="25">
        <f t="shared" si="10"/>
        <v>774526.9820000003</v>
      </c>
      <c r="AC21" s="44"/>
      <c r="AD21" s="8">
        <f t="shared" si="15"/>
        <v>774526.9820000003</v>
      </c>
      <c r="AE21" s="167">
        <v>306414.792</v>
      </c>
      <c r="AF21" s="168">
        <v>0</v>
      </c>
      <c r="AG21" s="168">
        <v>64543.915166666695</v>
      </c>
      <c r="AH21" s="168">
        <v>0</v>
      </c>
      <c r="AI21" s="168">
        <v>774526.9820000003</v>
      </c>
      <c r="AJ21" s="78"/>
      <c r="AK21" s="59"/>
      <c r="AL21" s="45">
        <v>0</v>
      </c>
      <c r="AM21" s="45">
        <v>107298.54</v>
      </c>
      <c r="AN21" s="2">
        <v>0</v>
      </c>
      <c r="AO21" s="2">
        <v>36578.51</v>
      </c>
      <c r="AP21" s="1">
        <v>0</v>
      </c>
      <c r="AQ21" s="1">
        <v>48512.16</v>
      </c>
      <c r="AR21" s="24">
        <v>0</v>
      </c>
      <c r="AS21" s="24">
        <v>79700.46</v>
      </c>
      <c r="AT21" s="1">
        <v>0</v>
      </c>
      <c r="AU21" s="1">
        <v>178002.28</v>
      </c>
      <c r="AV21" s="24">
        <v>0</v>
      </c>
      <c r="AW21" s="24">
        <v>55261.63</v>
      </c>
      <c r="AX21" s="45">
        <v>0</v>
      </c>
      <c r="AY21" s="45">
        <v>59890.58</v>
      </c>
      <c r="AZ21" s="24">
        <v>0</v>
      </c>
      <c r="BA21" s="24">
        <v>61994.28</v>
      </c>
      <c r="BB21" s="24">
        <v>0</v>
      </c>
      <c r="BC21" s="24">
        <v>80708.36</v>
      </c>
      <c r="BD21" s="24">
        <v>0</v>
      </c>
      <c r="BE21" s="24">
        <v>35524.33</v>
      </c>
      <c r="BF21" s="24">
        <v>0</v>
      </c>
      <c r="BG21" s="24">
        <v>33072.47</v>
      </c>
      <c r="BH21" s="24">
        <v>0</v>
      </c>
      <c r="BI21" s="24">
        <v>76046.68</v>
      </c>
      <c r="BJ21" s="9">
        <f t="shared" si="16"/>
        <v>0</v>
      </c>
      <c r="BK21" s="9">
        <f t="shared" si="17"/>
        <v>852590.2799999998</v>
      </c>
      <c r="BL21" s="153">
        <f t="shared" si="18"/>
        <v>852590.2799999998</v>
      </c>
      <c r="BM21" s="154"/>
      <c r="BN21" s="154">
        <v>17836.6</v>
      </c>
      <c r="BO21" s="154"/>
      <c r="BP21" s="154"/>
      <c r="BQ21" s="154"/>
      <c r="BR21" s="155">
        <f t="shared" si="19"/>
        <v>870426.8799999998</v>
      </c>
      <c r="BS21" s="198">
        <v>3401.44</v>
      </c>
      <c r="BT21" s="199"/>
      <c r="BU21" s="20">
        <f t="shared" si="20"/>
        <v>-92498.45799999946</v>
      </c>
      <c r="BV21" s="231">
        <v>178749.13</v>
      </c>
      <c r="BW21" s="229"/>
      <c r="BX21" s="230"/>
    </row>
    <row r="22" spans="1:76" ht="15.75" customHeight="1">
      <c r="A22" s="1">
        <v>15</v>
      </c>
      <c r="B22" s="1" t="s">
        <v>12</v>
      </c>
      <c r="C22" s="1">
        <v>500.6</v>
      </c>
      <c r="D22" s="1">
        <v>0</v>
      </c>
      <c r="E22" s="1">
        <f t="shared" si="22"/>
        <v>500.6</v>
      </c>
      <c r="F22" s="2">
        <v>13.78</v>
      </c>
      <c r="G22" s="2">
        <f t="shared" si="0"/>
        <v>6898.268</v>
      </c>
      <c r="H22" s="2">
        <f t="shared" si="11"/>
        <v>41389.608</v>
      </c>
      <c r="I22" s="2">
        <f t="shared" si="12"/>
        <v>13.78</v>
      </c>
      <c r="J22" s="2">
        <f t="shared" si="1"/>
        <v>6898.268</v>
      </c>
      <c r="K22" s="2">
        <f t="shared" si="13"/>
        <v>41389.608</v>
      </c>
      <c r="L22" s="97">
        <f t="shared" si="2"/>
        <v>82779.216</v>
      </c>
      <c r="M22" s="109">
        <v>3.92</v>
      </c>
      <c r="N22" s="89">
        <f t="shared" si="3"/>
        <v>23548.224000000002</v>
      </c>
      <c r="O22" s="64">
        <v>1.46</v>
      </c>
      <c r="P22" s="90">
        <f t="shared" si="4"/>
        <v>8770.511999999999</v>
      </c>
      <c r="Q22" s="64"/>
      <c r="R22" s="90">
        <f t="shared" si="5"/>
        <v>0</v>
      </c>
      <c r="S22" s="64"/>
      <c r="T22" s="91">
        <f t="shared" si="6"/>
        <v>0</v>
      </c>
      <c r="U22" s="64">
        <v>0</v>
      </c>
      <c r="V22" s="90">
        <f t="shared" si="7"/>
        <v>0</v>
      </c>
      <c r="W22" s="96"/>
      <c r="X22" s="91">
        <f t="shared" si="8"/>
        <v>0</v>
      </c>
      <c r="Y22" s="110">
        <f t="shared" si="14"/>
        <v>32318.736</v>
      </c>
      <c r="Z22" s="32"/>
      <c r="AA22" s="12">
        <f t="shared" si="9"/>
        <v>0</v>
      </c>
      <c r="AB22" s="25">
        <f t="shared" si="10"/>
        <v>82779.216</v>
      </c>
      <c r="AC22" s="44"/>
      <c r="AD22" s="8">
        <f t="shared" si="15"/>
        <v>82779.216</v>
      </c>
      <c r="AE22" s="167">
        <v>35078.736000000004</v>
      </c>
      <c r="AF22" s="168">
        <v>0</v>
      </c>
      <c r="AG22" s="168">
        <v>6898.268</v>
      </c>
      <c r="AH22" s="168">
        <v>0</v>
      </c>
      <c r="AI22" s="168">
        <v>82779.216</v>
      </c>
      <c r="AJ22" s="78"/>
      <c r="AK22" s="59"/>
      <c r="AL22" s="45">
        <v>0</v>
      </c>
      <c r="AM22" s="45">
        <v>2497.72</v>
      </c>
      <c r="AN22" s="2">
        <v>0</v>
      </c>
      <c r="AO22" s="2">
        <v>3830.91</v>
      </c>
      <c r="AP22" s="1">
        <v>0</v>
      </c>
      <c r="AQ22" s="1">
        <v>2497.72</v>
      </c>
      <c r="AR22" s="24">
        <v>0</v>
      </c>
      <c r="AS22" s="24">
        <v>3773.72</v>
      </c>
      <c r="AT22" s="1">
        <v>0</v>
      </c>
      <c r="AU22" s="1">
        <v>3273.65</v>
      </c>
      <c r="AV22" s="24">
        <v>0</v>
      </c>
      <c r="AW22" s="24">
        <v>3410.15</v>
      </c>
      <c r="AX22" s="45">
        <v>0</v>
      </c>
      <c r="AY22" s="45">
        <v>5426.12</v>
      </c>
      <c r="AZ22" s="24">
        <v>0</v>
      </c>
      <c r="BA22" s="24">
        <v>3273.65</v>
      </c>
      <c r="BB22" s="24">
        <v>0</v>
      </c>
      <c r="BC22" s="24">
        <v>7588.87</v>
      </c>
      <c r="BD22" s="24">
        <v>0</v>
      </c>
      <c r="BE22" s="24">
        <v>5517.12</v>
      </c>
      <c r="BF22" s="24">
        <v>0</v>
      </c>
      <c r="BG22" s="24">
        <v>6761.67</v>
      </c>
      <c r="BH22" s="24">
        <v>0</v>
      </c>
      <c r="BI22" s="24">
        <v>2497.72</v>
      </c>
      <c r="BJ22" s="9">
        <f t="shared" si="16"/>
        <v>0</v>
      </c>
      <c r="BK22" s="9">
        <f t="shared" si="17"/>
        <v>50349.020000000004</v>
      </c>
      <c r="BL22" s="153">
        <f t="shared" si="18"/>
        <v>50349.020000000004</v>
      </c>
      <c r="BM22" s="154"/>
      <c r="BN22" s="154"/>
      <c r="BO22" s="154"/>
      <c r="BP22" s="154"/>
      <c r="BQ22" s="154"/>
      <c r="BR22" s="155">
        <f t="shared" si="19"/>
        <v>50349.020000000004</v>
      </c>
      <c r="BS22" s="198">
        <v>1096.31</v>
      </c>
      <c r="BT22" s="199"/>
      <c r="BU22" s="20">
        <f t="shared" si="20"/>
        <v>33526.505999999994</v>
      </c>
      <c r="BV22" s="231">
        <v>105572.46</v>
      </c>
      <c r="BW22" s="229"/>
      <c r="BX22" s="230"/>
    </row>
    <row r="23" spans="1:76" ht="15.75" customHeight="1">
      <c r="A23" s="1">
        <v>16</v>
      </c>
      <c r="B23" s="1" t="s">
        <v>13</v>
      </c>
      <c r="C23" s="1">
        <v>1322.4</v>
      </c>
      <c r="D23" s="1">
        <v>0</v>
      </c>
      <c r="E23" s="1">
        <f t="shared" si="22"/>
        <v>1322.4</v>
      </c>
      <c r="F23" s="2">
        <v>9.71</v>
      </c>
      <c r="G23" s="2">
        <f t="shared" si="0"/>
        <v>12840.504000000003</v>
      </c>
      <c r="H23" s="2">
        <f t="shared" si="11"/>
        <v>77043.02400000002</v>
      </c>
      <c r="I23" s="2">
        <f t="shared" si="12"/>
        <v>9.71</v>
      </c>
      <c r="J23" s="2">
        <f t="shared" si="1"/>
        <v>12840.504000000003</v>
      </c>
      <c r="K23" s="2">
        <f t="shared" si="13"/>
        <v>77043.02400000002</v>
      </c>
      <c r="L23" s="97">
        <f t="shared" si="2"/>
        <v>154086.04800000004</v>
      </c>
      <c r="M23" s="109">
        <v>3.92</v>
      </c>
      <c r="N23" s="89">
        <f t="shared" si="3"/>
        <v>62205.695999999996</v>
      </c>
      <c r="O23" s="64">
        <v>1.46</v>
      </c>
      <c r="P23" s="90">
        <f t="shared" si="4"/>
        <v>23168.448000000004</v>
      </c>
      <c r="Q23" s="64"/>
      <c r="R23" s="90">
        <f t="shared" si="5"/>
        <v>0</v>
      </c>
      <c r="S23" s="64"/>
      <c r="T23" s="91">
        <f t="shared" si="6"/>
        <v>0</v>
      </c>
      <c r="U23" s="64">
        <v>0</v>
      </c>
      <c r="V23" s="90">
        <f t="shared" si="7"/>
        <v>0</v>
      </c>
      <c r="W23" s="96"/>
      <c r="X23" s="91">
        <f t="shared" si="8"/>
        <v>0</v>
      </c>
      <c r="Y23" s="110">
        <f t="shared" si="14"/>
        <v>85374.144</v>
      </c>
      <c r="Z23" s="32">
        <v>-124668.34</v>
      </c>
      <c r="AA23" s="12">
        <f t="shared" si="9"/>
        <v>-0.8090825977962649</v>
      </c>
      <c r="AB23" s="25">
        <f t="shared" si="10"/>
        <v>29417.708000000042</v>
      </c>
      <c r="AC23" s="44"/>
      <c r="AD23" s="8">
        <f t="shared" si="15"/>
        <v>29417.708000000042</v>
      </c>
      <c r="AE23" s="167">
        <v>45923.136000000006</v>
      </c>
      <c r="AF23" s="168">
        <v>0</v>
      </c>
      <c r="AG23" s="168">
        <v>2451.4756666666703</v>
      </c>
      <c r="AH23" s="168">
        <v>0</v>
      </c>
      <c r="AI23" s="168">
        <v>29417.708000000042</v>
      </c>
      <c r="AJ23" s="78" t="s">
        <v>299</v>
      </c>
      <c r="AK23" s="57"/>
      <c r="AL23" s="45">
        <v>0</v>
      </c>
      <c r="AM23" s="45">
        <v>3840.15</v>
      </c>
      <c r="AN23" s="2">
        <v>0</v>
      </c>
      <c r="AO23" s="2">
        <v>6913.34</v>
      </c>
      <c r="AP23" s="1">
        <v>0</v>
      </c>
      <c r="AQ23" s="1">
        <v>3840.15</v>
      </c>
      <c r="AR23" s="24">
        <v>0</v>
      </c>
      <c r="AS23" s="24">
        <v>5116.15</v>
      </c>
      <c r="AT23" s="1">
        <v>0</v>
      </c>
      <c r="AU23" s="1">
        <v>3840.15</v>
      </c>
      <c r="AV23" s="24">
        <v>0</v>
      </c>
      <c r="AW23" s="24">
        <v>3840.15</v>
      </c>
      <c r="AX23" s="45">
        <v>0</v>
      </c>
      <c r="AY23" s="45">
        <v>7229.88</v>
      </c>
      <c r="AZ23" s="24">
        <v>0</v>
      </c>
      <c r="BA23" s="24">
        <v>3840.15</v>
      </c>
      <c r="BB23" s="24">
        <v>0</v>
      </c>
      <c r="BC23" s="24">
        <v>11703.42</v>
      </c>
      <c r="BD23" s="24">
        <v>0</v>
      </c>
      <c r="BE23" s="24">
        <v>6859.55</v>
      </c>
      <c r="BF23" s="24">
        <v>0</v>
      </c>
      <c r="BG23" s="24">
        <v>9426.03</v>
      </c>
      <c r="BH23" s="24">
        <v>0</v>
      </c>
      <c r="BI23" s="24">
        <v>18675.88</v>
      </c>
      <c r="BJ23" s="9">
        <f t="shared" si="16"/>
        <v>0</v>
      </c>
      <c r="BK23" s="9">
        <f t="shared" si="17"/>
        <v>85125.00000000001</v>
      </c>
      <c r="BL23" s="153">
        <f t="shared" si="18"/>
        <v>85125.00000000001</v>
      </c>
      <c r="BM23" s="154"/>
      <c r="BN23" s="154"/>
      <c r="BO23" s="154"/>
      <c r="BP23" s="154"/>
      <c r="BQ23" s="154"/>
      <c r="BR23" s="155">
        <f t="shared" si="19"/>
        <v>85125.00000000001</v>
      </c>
      <c r="BS23" s="198">
        <v>2896.06</v>
      </c>
      <c r="BT23" s="199"/>
      <c r="BU23" s="20">
        <f t="shared" si="20"/>
        <v>-52811.231999999975</v>
      </c>
      <c r="BV23" s="231">
        <v>23673.49</v>
      </c>
      <c r="BW23" s="229"/>
      <c r="BX23" s="230"/>
    </row>
    <row r="24" spans="1:76" ht="15.75" customHeight="1">
      <c r="A24" s="1">
        <v>17</v>
      </c>
      <c r="B24" s="1" t="s">
        <v>14</v>
      </c>
      <c r="C24" s="1">
        <v>1425.9</v>
      </c>
      <c r="D24" s="1">
        <v>0</v>
      </c>
      <c r="E24" s="1">
        <f t="shared" si="22"/>
        <v>1425.9</v>
      </c>
      <c r="F24" s="2">
        <v>14.2</v>
      </c>
      <c r="G24" s="2">
        <f t="shared" si="0"/>
        <v>20247.78</v>
      </c>
      <c r="H24" s="2">
        <f t="shared" si="11"/>
        <v>121486.68</v>
      </c>
      <c r="I24" s="2">
        <f t="shared" si="12"/>
        <v>14.2</v>
      </c>
      <c r="J24" s="2">
        <f t="shared" si="1"/>
        <v>20247.78</v>
      </c>
      <c r="K24" s="2">
        <f t="shared" si="13"/>
        <v>121486.68</v>
      </c>
      <c r="L24" s="97">
        <f t="shared" si="2"/>
        <v>242973.36</v>
      </c>
      <c r="M24" s="109">
        <v>3.92</v>
      </c>
      <c r="N24" s="89">
        <f t="shared" si="3"/>
        <v>67074.33600000001</v>
      </c>
      <c r="O24" s="64">
        <v>1.46</v>
      </c>
      <c r="P24" s="90">
        <f t="shared" si="4"/>
        <v>24981.768000000004</v>
      </c>
      <c r="Q24" s="64"/>
      <c r="R24" s="90">
        <f t="shared" si="5"/>
        <v>0</v>
      </c>
      <c r="S24" s="64"/>
      <c r="T24" s="91">
        <f t="shared" si="6"/>
        <v>0</v>
      </c>
      <c r="U24" s="64">
        <v>0</v>
      </c>
      <c r="V24" s="90">
        <f t="shared" si="7"/>
        <v>0</v>
      </c>
      <c r="W24" s="96"/>
      <c r="X24" s="91">
        <f t="shared" si="8"/>
        <v>0</v>
      </c>
      <c r="Y24" s="110">
        <f t="shared" si="14"/>
        <v>92056.10400000002</v>
      </c>
      <c r="Z24" s="32">
        <v>-153748.39</v>
      </c>
      <c r="AA24" s="12">
        <f t="shared" si="9"/>
        <v>-0.6327787951732652</v>
      </c>
      <c r="AB24" s="25">
        <f t="shared" si="10"/>
        <v>89224.96999999997</v>
      </c>
      <c r="AC24" s="44"/>
      <c r="AD24" s="8">
        <f t="shared" si="15"/>
        <v>89224.96999999997</v>
      </c>
      <c r="AE24" s="167">
        <v>49301.376000000004</v>
      </c>
      <c r="AF24" s="168">
        <v>0</v>
      </c>
      <c r="AG24" s="168">
        <v>7435.414166666665</v>
      </c>
      <c r="AH24" s="168">
        <v>0</v>
      </c>
      <c r="AI24" s="168">
        <v>89224.96999999997</v>
      </c>
      <c r="AJ24" s="78" t="s">
        <v>296</v>
      </c>
      <c r="AK24" s="57"/>
      <c r="AL24" s="45">
        <v>0</v>
      </c>
      <c r="AM24" s="45">
        <v>27985.01</v>
      </c>
      <c r="AN24" s="2">
        <v>0</v>
      </c>
      <c r="AO24" s="2">
        <v>5940.47</v>
      </c>
      <c r="AP24" s="1">
        <v>0</v>
      </c>
      <c r="AQ24" s="1">
        <v>25507.94</v>
      </c>
      <c r="AR24" s="24">
        <v>0</v>
      </c>
      <c r="AS24" s="24">
        <v>30574.36</v>
      </c>
      <c r="AT24" s="1">
        <v>0</v>
      </c>
      <c r="AU24" s="1">
        <v>19846.48</v>
      </c>
      <c r="AV24" s="24">
        <v>0</v>
      </c>
      <c r="AW24" s="24">
        <v>4612.71</v>
      </c>
      <c r="AX24" s="45">
        <v>0</v>
      </c>
      <c r="AY24" s="45">
        <v>7651.21</v>
      </c>
      <c r="AZ24" s="24">
        <v>0</v>
      </c>
      <c r="BA24" s="24">
        <v>22344.02</v>
      </c>
      <c r="BB24" s="24">
        <v>0</v>
      </c>
      <c r="BC24" s="24">
        <v>13670.41</v>
      </c>
      <c r="BD24" s="24">
        <v>0</v>
      </c>
      <c r="BE24" s="24">
        <v>15925.7</v>
      </c>
      <c r="BF24" s="24">
        <v>0</v>
      </c>
      <c r="BG24" s="24">
        <v>16540.82</v>
      </c>
      <c r="BH24" s="24">
        <v>0</v>
      </c>
      <c r="BI24" s="24">
        <v>13834.28</v>
      </c>
      <c r="BJ24" s="9">
        <f t="shared" si="16"/>
        <v>0</v>
      </c>
      <c r="BK24" s="9">
        <f t="shared" si="17"/>
        <v>204433.41000000003</v>
      </c>
      <c r="BL24" s="153">
        <f t="shared" si="18"/>
        <v>204433.41000000003</v>
      </c>
      <c r="BM24" s="154"/>
      <c r="BN24" s="154"/>
      <c r="BO24" s="154"/>
      <c r="BP24" s="154"/>
      <c r="BQ24" s="154"/>
      <c r="BR24" s="155">
        <f t="shared" si="19"/>
        <v>204433.41000000003</v>
      </c>
      <c r="BS24" s="198">
        <v>3122.72</v>
      </c>
      <c r="BT24" s="199"/>
      <c r="BU24" s="20">
        <f t="shared" si="20"/>
        <v>-112085.72000000006</v>
      </c>
      <c r="BV24" s="231">
        <v>248333.82</v>
      </c>
      <c r="BW24" s="229"/>
      <c r="BX24" s="230"/>
    </row>
    <row r="25" spans="1:76" ht="15.75" customHeight="1">
      <c r="A25" s="1">
        <v>18</v>
      </c>
      <c r="B25" s="1" t="s">
        <v>15</v>
      </c>
      <c r="C25" s="1">
        <v>493.4</v>
      </c>
      <c r="D25" s="1">
        <v>0</v>
      </c>
      <c r="E25" s="1">
        <f t="shared" si="22"/>
        <v>493.4</v>
      </c>
      <c r="F25" s="2">
        <v>13.78</v>
      </c>
      <c r="G25" s="2">
        <f t="shared" si="0"/>
        <v>6799.052</v>
      </c>
      <c r="H25" s="2">
        <f t="shared" si="11"/>
        <v>40794.312</v>
      </c>
      <c r="I25" s="2">
        <f t="shared" si="12"/>
        <v>13.78</v>
      </c>
      <c r="J25" s="2">
        <f t="shared" si="1"/>
        <v>6799.052</v>
      </c>
      <c r="K25" s="2">
        <f t="shared" si="13"/>
        <v>40794.312</v>
      </c>
      <c r="L25" s="97">
        <f t="shared" si="2"/>
        <v>81588.624</v>
      </c>
      <c r="M25" s="109">
        <v>3.92</v>
      </c>
      <c r="N25" s="89">
        <f t="shared" si="3"/>
        <v>23209.536</v>
      </c>
      <c r="O25" s="64"/>
      <c r="P25" s="90">
        <f t="shared" si="4"/>
        <v>0</v>
      </c>
      <c r="Q25" s="64"/>
      <c r="R25" s="90">
        <f t="shared" si="5"/>
        <v>0</v>
      </c>
      <c r="S25" s="64"/>
      <c r="T25" s="91">
        <f t="shared" si="6"/>
        <v>0</v>
      </c>
      <c r="U25" s="64">
        <v>0</v>
      </c>
      <c r="V25" s="90">
        <f t="shared" si="7"/>
        <v>0</v>
      </c>
      <c r="W25" s="96"/>
      <c r="X25" s="91">
        <f t="shared" si="8"/>
        <v>0</v>
      </c>
      <c r="Y25" s="110">
        <f t="shared" si="14"/>
        <v>23209.536</v>
      </c>
      <c r="Z25" s="32">
        <v>-138301.83</v>
      </c>
      <c r="AA25" s="12">
        <f t="shared" si="9"/>
        <v>-1.6951116861585998</v>
      </c>
      <c r="AB25" s="25">
        <f t="shared" si="10"/>
        <v>-56713.20599999999</v>
      </c>
      <c r="AC25" s="44"/>
      <c r="AD25" s="8">
        <f t="shared" si="15"/>
        <v>-56713.20599999999</v>
      </c>
      <c r="AE25" s="167">
        <v>18864.576</v>
      </c>
      <c r="AF25" s="168">
        <v>0</v>
      </c>
      <c r="AG25" s="168">
        <v>1572.048</v>
      </c>
      <c r="AH25" s="168">
        <v>0</v>
      </c>
      <c r="AI25" s="168">
        <v>18864.576</v>
      </c>
      <c r="AJ25" s="78" t="s">
        <v>296</v>
      </c>
      <c r="AK25" s="26" t="s">
        <v>352</v>
      </c>
      <c r="AL25" s="45">
        <v>0</v>
      </c>
      <c r="AM25" s="45">
        <v>5349.44</v>
      </c>
      <c r="AN25" s="2">
        <v>0</v>
      </c>
      <c r="AO25" s="2">
        <v>15106.47</v>
      </c>
      <c r="AP25" s="1">
        <v>0</v>
      </c>
      <c r="AQ25" s="1">
        <v>3338.21</v>
      </c>
      <c r="AR25" s="24">
        <v>0</v>
      </c>
      <c r="AS25" s="24">
        <v>16212.06</v>
      </c>
      <c r="AT25" s="1">
        <v>0</v>
      </c>
      <c r="AU25" s="1">
        <v>1576.98</v>
      </c>
      <c r="AV25" s="24">
        <v>0</v>
      </c>
      <c r="AW25" s="24">
        <v>2626.98</v>
      </c>
      <c r="AX25" s="45">
        <v>0</v>
      </c>
      <c r="AY25" s="45">
        <v>2440.98</v>
      </c>
      <c r="AZ25" s="24">
        <v>0</v>
      </c>
      <c r="BA25" s="24">
        <v>1576.98</v>
      </c>
      <c r="BB25" s="24">
        <v>0</v>
      </c>
      <c r="BC25" s="24">
        <v>2180.86</v>
      </c>
      <c r="BD25" s="24">
        <v>0</v>
      </c>
      <c r="BE25" s="24">
        <v>7553.2</v>
      </c>
      <c r="BF25" s="24">
        <v>0</v>
      </c>
      <c r="BG25" s="24">
        <v>15107.98</v>
      </c>
      <c r="BH25" s="24">
        <v>0</v>
      </c>
      <c r="BI25" s="24">
        <v>1576.98</v>
      </c>
      <c r="BJ25" s="9">
        <f t="shared" si="16"/>
        <v>0</v>
      </c>
      <c r="BK25" s="9">
        <f t="shared" si="17"/>
        <v>74647.12000000001</v>
      </c>
      <c r="BL25" s="153">
        <f t="shared" si="18"/>
        <v>74647.12000000001</v>
      </c>
      <c r="BM25" s="154"/>
      <c r="BN25" s="154">
        <v>2579.64</v>
      </c>
      <c r="BO25" s="154"/>
      <c r="BP25" s="154"/>
      <c r="BQ25" s="154"/>
      <c r="BR25" s="155">
        <f t="shared" si="19"/>
        <v>77226.76000000001</v>
      </c>
      <c r="BS25" s="198"/>
      <c r="BT25" s="199"/>
      <c r="BU25" s="20">
        <f t="shared" si="20"/>
        <v>-133939.96600000001</v>
      </c>
      <c r="BV25" s="231">
        <v>7996.9</v>
      </c>
      <c r="BW25" s="229"/>
      <c r="BX25" s="230"/>
    </row>
    <row r="26" spans="1:76" ht="15.75" customHeight="1">
      <c r="A26" s="1">
        <v>19</v>
      </c>
      <c r="B26" s="1" t="s">
        <v>16</v>
      </c>
      <c r="C26" s="1">
        <v>1357.3</v>
      </c>
      <c r="D26" s="1">
        <v>0</v>
      </c>
      <c r="E26" s="1">
        <f t="shared" si="22"/>
        <v>1357.3</v>
      </c>
      <c r="F26" s="2">
        <v>13.78</v>
      </c>
      <c r="G26" s="2">
        <f t="shared" si="0"/>
        <v>18703.593999999997</v>
      </c>
      <c r="H26" s="2">
        <f t="shared" si="11"/>
        <v>112221.56399999998</v>
      </c>
      <c r="I26" s="2">
        <f t="shared" si="12"/>
        <v>13.78</v>
      </c>
      <c r="J26" s="2">
        <f t="shared" si="1"/>
        <v>18703.593999999997</v>
      </c>
      <c r="K26" s="2">
        <f t="shared" si="13"/>
        <v>112221.56399999998</v>
      </c>
      <c r="L26" s="97">
        <f t="shared" si="2"/>
        <v>224443.12799999997</v>
      </c>
      <c r="M26" s="109">
        <v>3.92</v>
      </c>
      <c r="N26" s="89">
        <f t="shared" si="3"/>
        <v>63847.392</v>
      </c>
      <c r="O26" s="64">
        <v>1.46</v>
      </c>
      <c r="P26" s="90">
        <f t="shared" si="4"/>
        <v>23779.896</v>
      </c>
      <c r="Q26" s="64"/>
      <c r="R26" s="90">
        <f t="shared" si="5"/>
        <v>0</v>
      </c>
      <c r="S26" s="64"/>
      <c r="T26" s="91">
        <f t="shared" si="6"/>
        <v>0</v>
      </c>
      <c r="U26" s="64">
        <v>0</v>
      </c>
      <c r="V26" s="90">
        <f t="shared" si="7"/>
        <v>0</v>
      </c>
      <c r="W26" s="96"/>
      <c r="X26" s="91">
        <f t="shared" si="8"/>
        <v>0</v>
      </c>
      <c r="Y26" s="110">
        <f t="shared" si="14"/>
        <v>87627.288</v>
      </c>
      <c r="Z26" s="32">
        <v>-79946.76</v>
      </c>
      <c r="AA26" s="12">
        <f t="shared" si="9"/>
        <v>-0.35620052488307863</v>
      </c>
      <c r="AB26" s="25">
        <f t="shared" si="10"/>
        <v>144496.36799999996</v>
      </c>
      <c r="AC26" s="44"/>
      <c r="AD26" s="8">
        <f t="shared" si="15"/>
        <v>144496.36799999996</v>
      </c>
      <c r="AE26" s="167">
        <v>44302.272000000004</v>
      </c>
      <c r="AF26" s="168">
        <v>0</v>
      </c>
      <c r="AG26" s="168">
        <v>12041.363999999996</v>
      </c>
      <c r="AH26" s="168">
        <v>0</v>
      </c>
      <c r="AI26" s="168">
        <v>144496.36799999996</v>
      </c>
      <c r="AJ26" s="78" t="s">
        <v>296</v>
      </c>
      <c r="AK26" s="59"/>
      <c r="AL26" s="45">
        <v>0</v>
      </c>
      <c r="AM26" s="45">
        <v>3878.69</v>
      </c>
      <c r="AN26" s="2">
        <v>0</v>
      </c>
      <c r="AO26" s="2">
        <v>71260.85</v>
      </c>
      <c r="AP26" s="1">
        <v>0</v>
      </c>
      <c r="AQ26" s="1">
        <v>11350.15</v>
      </c>
      <c r="AR26" s="24">
        <v>0</v>
      </c>
      <c r="AS26" s="24">
        <v>42216.42</v>
      </c>
      <c r="AT26" s="1">
        <v>0</v>
      </c>
      <c r="AU26" s="1">
        <v>9551.88</v>
      </c>
      <c r="AV26" s="24">
        <v>0</v>
      </c>
      <c r="AW26" s="24">
        <v>18484.8</v>
      </c>
      <c r="AX26" s="45">
        <v>0</v>
      </c>
      <c r="AY26" s="45">
        <v>6142.45</v>
      </c>
      <c r="AZ26" s="24">
        <v>0</v>
      </c>
      <c r="BA26" s="24">
        <v>3705.43</v>
      </c>
      <c r="BB26" s="24">
        <v>0</v>
      </c>
      <c r="BC26" s="24">
        <v>9767.49</v>
      </c>
      <c r="BD26" s="24">
        <v>0</v>
      </c>
      <c r="BE26" s="24">
        <v>11672.28</v>
      </c>
      <c r="BF26" s="24">
        <v>0</v>
      </c>
      <c r="BG26" s="24">
        <v>18479.45</v>
      </c>
      <c r="BH26" s="24">
        <v>0</v>
      </c>
      <c r="BI26" s="24">
        <v>21416</v>
      </c>
      <c r="BJ26" s="9">
        <f t="shared" si="16"/>
        <v>0</v>
      </c>
      <c r="BK26" s="9">
        <f t="shared" si="17"/>
        <v>227925.88999999998</v>
      </c>
      <c r="BL26" s="153">
        <f t="shared" si="18"/>
        <v>227925.88999999998</v>
      </c>
      <c r="BM26" s="154"/>
      <c r="BN26" s="154"/>
      <c r="BO26" s="154"/>
      <c r="BP26" s="154"/>
      <c r="BQ26" s="154"/>
      <c r="BR26" s="155">
        <f t="shared" si="19"/>
        <v>227925.88999999998</v>
      </c>
      <c r="BS26" s="198">
        <v>2972.49</v>
      </c>
      <c r="BT26" s="199"/>
      <c r="BU26" s="20">
        <f t="shared" si="20"/>
        <v>-80457.03200000002</v>
      </c>
      <c r="BV26" s="231">
        <v>477837.16</v>
      </c>
      <c r="BW26" s="229"/>
      <c r="BX26" s="230"/>
    </row>
    <row r="27" spans="1:76" ht="15.75" customHeight="1">
      <c r="A27" s="1">
        <v>20</v>
      </c>
      <c r="B27" s="1" t="s">
        <v>17</v>
      </c>
      <c r="C27" s="1">
        <v>2531.7</v>
      </c>
      <c r="D27" s="1">
        <v>0</v>
      </c>
      <c r="E27" s="1">
        <f t="shared" si="22"/>
        <v>2531.7</v>
      </c>
      <c r="F27" s="2">
        <v>15.22</v>
      </c>
      <c r="G27" s="2">
        <f t="shared" si="0"/>
        <v>38532.474</v>
      </c>
      <c r="H27" s="2">
        <f t="shared" si="11"/>
        <v>231194.844</v>
      </c>
      <c r="I27" s="2">
        <f t="shared" si="12"/>
        <v>15.22</v>
      </c>
      <c r="J27" s="2">
        <f t="shared" si="1"/>
        <v>38532.474</v>
      </c>
      <c r="K27" s="2">
        <f t="shared" si="13"/>
        <v>231194.844</v>
      </c>
      <c r="L27" s="97">
        <f t="shared" si="2"/>
        <v>462389.688</v>
      </c>
      <c r="M27" s="109">
        <v>3.92</v>
      </c>
      <c r="N27" s="89">
        <f t="shared" si="3"/>
        <v>119091.16799999999</v>
      </c>
      <c r="O27" s="64">
        <v>1.46</v>
      </c>
      <c r="P27" s="90">
        <f t="shared" si="4"/>
        <v>44355.384</v>
      </c>
      <c r="Q27" s="64"/>
      <c r="R27" s="90">
        <f t="shared" si="5"/>
        <v>0</v>
      </c>
      <c r="S27" s="64"/>
      <c r="T27" s="91">
        <f t="shared" si="6"/>
        <v>0</v>
      </c>
      <c r="U27" s="64">
        <v>0.6</v>
      </c>
      <c r="V27" s="90">
        <f t="shared" si="7"/>
        <v>18228.239999999998</v>
      </c>
      <c r="W27" s="96"/>
      <c r="X27" s="91">
        <f t="shared" si="8"/>
        <v>0</v>
      </c>
      <c r="Y27" s="110">
        <f t="shared" si="14"/>
        <v>181674.792</v>
      </c>
      <c r="Z27" s="32">
        <v>-573974.53</v>
      </c>
      <c r="AA27" s="12">
        <f t="shared" si="9"/>
        <v>-1.2413220815599157</v>
      </c>
      <c r="AB27" s="25">
        <f t="shared" si="10"/>
        <v>-111584.842</v>
      </c>
      <c r="AC27" s="44"/>
      <c r="AD27" s="8">
        <f t="shared" si="15"/>
        <v>-111584.842</v>
      </c>
      <c r="AE27" s="167">
        <v>166206.552</v>
      </c>
      <c r="AF27" s="168">
        <v>8074.076344788725</v>
      </c>
      <c r="AG27" s="168">
        <v>5776.4696552112755</v>
      </c>
      <c r="AH27" s="168">
        <v>96888.9161374647</v>
      </c>
      <c r="AI27" s="168">
        <v>69317.6358625353</v>
      </c>
      <c r="AJ27" s="78"/>
      <c r="AK27" s="26" t="s">
        <v>352</v>
      </c>
      <c r="AL27" s="45">
        <v>5846.99</v>
      </c>
      <c r="AM27" s="45">
        <v>7321.54</v>
      </c>
      <c r="AN27" s="2">
        <v>9308.3</v>
      </c>
      <c r="AO27" s="2">
        <v>16415.57</v>
      </c>
      <c r="AP27" s="1">
        <v>9461.97</v>
      </c>
      <c r="AQ27" s="1">
        <v>8744.73</v>
      </c>
      <c r="AR27" s="24">
        <v>6110.68</v>
      </c>
      <c r="AS27" s="24">
        <v>161875.73</v>
      </c>
      <c r="AT27" s="1">
        <v>10506.56</v>
      </c>
      <c r="AU27" s="1">
        <v>9438.38</v>
      </c>
      <c r="AV27" s="24">
        <v>12388.94</v>
      </c>
      <c r="AW27" s="24">
        <v>18968.78</v>
      </c>
      <c r="AX27" s="45">
        <v>12457.53</v>
      </c>
      <c r="AY27" s="45">
        <v>26613.72</v>
      </c>
      <c r="AZ27" s="24">
        <v>16317.48</v>
      </c>
      <c r="BA27" s="24">
        <v>8641.54</v>
      </c>
      <c r="BB27" s="24">
        <v>13569.49</v>
      </c>
      <c r="BC27" s="24">
        <v>17438.49</v>
      </c>
      <c r="BD27" s="24">
        <v>26039.65</v>
      </c>
      <c r="BE27" s="24">
        <v>39809.51</v>
      </c>
      <c r="BF27" s="24">
        <v>65341.87</v>
      </c>
      <c r="BG27" s="24">
        <v>11668.94</v>
      </c>
      <c r="BH27" s="24">
        <v>324311.6</v>
      </c>
      <c r="BI27" s="24">
        <v>46607.6</v>
      </c>
      <c r="BJ27" s="9">
        <f t="shared" si="16"/>
        <v>511661.05999999994</v>
      </c>
      <c r="BK27" s="9">
        <f t="shared" si="17"/>
        <v>373544.53</v>
      </c>
      <c r="BL27" s="153">
        <f t="shared" si="18"/>
        <v>885205.59</v>
      </c>
      <c r="BM27" s="154"/>
      <c r="BN27" s="154"/>
      <c r="BO27" s="154"/>
      <c r="BP27" s="154"/>
      <c r="BQ27" s="154"/>
      <c r="BR27" s="155">
        <f t="shared" si="19"/>
        <v>885205.59</v>
      </c>
      <c r="BS27" s="198">
        <v>1848.29</v>
      </c>
      <c r="BT27" s="199"/>
      <c r="BU27" s="20">
        <f t="shared" si="20"/>
        <v>-994942.142</v>
      </c>
      <c r="BV27" s="231">
        <v>530575.29</v>
      </c>
      <c r="BW27" s="229"/>
      <c r="BX27" s="230"/>
    </row>
    <row r="28" spans="1:76" ht="15.75" customHeight="1">
      <c r="A28" s="1">
        <v>21</v>
      </c>
      <c r="B28" s="1" t="s">
        <v>18</v>
      </c>
      <c r="C28" s="1">
        <v>3200</v>
      </c>
      <c r="D28" s="1">
        <v>0</v>
      </c>
      <c r="E28" s="1">
        <f t="shared" si="22"/>
        <v>3200</v>
      </c>
      <c r="F28" s="2">
        <v>15.22</v>
      </c>
      <c r="G28" s="2">
        <f t="shared" si="0"/>
        <v>48704</v>
      </c>
      <c r="H28" s="2">
        <f t="shared" si="11"/>
        <v>292224</v>
      </c>
      <c r="I28" s="2">
        <f t="shared" si="12"/>
        <v>15.22</v>
      </c>
      <c r="J28" s="2">
        <f t="shared" si="1"/>
        <v>48704</v>
      </c>
      <c r="K28" s="2">
        <f t="shared" si="13"/>
        <v>292224</v>
      </c>
      <c r="L28" s="97">
        <f t="shared" si="2"/>
        <v>584448</v>
      </c>
      <c r="M28" s="109">
        <v>3.92</v>
      </c>
      <c r="N28" s="89">
        <f t="shared" si="3"/>
        <v>150528</v>
      </c>
      <c r="O28" s="64">
        <v>1.46</v>
      </c>
      <c r="P28" s="90">
        <f t="shared" si="4"/>
        <v>56064</v>
      </c>
      <c r="Q28" s="64"/>
      <c r="R28" s="90">
        <f t="shared" si="5"/>
        <v>0</v>
      </c>
      <c r="S28" s="64"/>
      <c r="T28" s="91">
        <f t="shared" si="6"/>
        <v>0</v>
      </c>
      <c r="U28" s="64">
        <v>0.47</v>
      </c>
      <c r="V28" s="90">
        <f t="shared" si="7"/>
        <v>18048</v>
      </c>
      <c r="W28" s="96"/>
      <c r="X28" s="91">
        <f t="shared" si="8"/>
        <v>0</v>
      </c>
      <c r="Y28" s="110">
        <f t="shared" si="14"/>
        <v>224640</v>
      </c>
      <c r="Z28" s="32"/>
      <c r="AA28" s="12">
        <f t="shared" si="9"/>
        <v>0</v>
      </c>
      <c r="AB28" s="25">
        <f t="shared" si="10"/>
        <v>584448</v>
      </c>
      <c r="AC28" s="44"/>
      <c r="AD28" s="8">
        <f t="shared" si="15"/>
        <v>584448</v>
      </c>
      <c r="AE28" s="167">
        <v>209352</v>
      </c>
      <c r="AF28" s="168">
        <v>0</v>
      </c>
      <c r="AG28" s="168">
        <v>48704</v>
      </c>
      <c r="AH28" s="168">
        <v>0</v>
      </c>
      <c r="AI28" s="168">
        <v>584448</v>
      </c>
      <c r="AJ28" s="78"/>
      <c r="AK28" s="59"/>
      <c r="AL28" s="45">
        <v>0</v>
      </c>
      <c r="AM28" s="45">
        <v>64622.36</v>
      </c>
      <c r="AN28" s="2">
        <v>0</v>
      </c>
      <c r="AO28" s="2">
        <v>87729.62</v>
      </c>
      <c r="AP28" s="1">
        <v>0</v>
      </c>
      <c r="AQ28" s="1">
        <v>37146.57</v>
      </c>
      <c r="AR28" s="24">
        <v>0</v>
      </c>
      <c r="AS28" s="24">
        <v>18971.56</v>
      </c>
      <c r="AT28" s="1">
        <v>0</v>
      </c>
      <c r="AU28" s="1">
        <v>22965.74</v>
      </c>
      <c r="AV28" s="24">
        <v>0</v>
      </c>
      <c r="AW28" s="24">
        <v>36604.82</v>
      </c>
      <c r="AX28" s="45">
        <v>0</v>
      </c>
      <c r="AY28" s="45">
        <v>37064.02</v>
      </c>
      <c r="AZ28" s="24">
        <v>0</v>
      </c>
      <c r="BA28" s="24">
        <v>139324.89</v>
      </c>
      <c r="BB28" s="24">
        <v>0</v>
      </c>
      <c r="BC28" s="24">
        <v>212229.37</v>
      </c>
      <c r="BD28" s="24">
        <v>0</v>
      </c>
      <c r="BE28" s="24">
        <v>352908.92</v>
      </c>
      <c r="BF28" s="24">
        <v>0</v>
      </c>
      <c r="BG28" s="24">
        <v>68331.18</v>
      </c>
      <c r="BH28" s="24">
        <v>0</v>
      </c>
      <c r="BI28" s="24">
        <v>395928.35</v>
      </c>
      <c r="BJ28" s="9">
        <f t="shared" si="16"/>
        <v>0</v>
      </c>
      <c r="BK28" s="9">
        <f t="shared" si="17"/>
        <v>1473827.4</v>
      </c>
      <c r="BL28" s="153">
        <f t="shared" si="18"/>
        <v>1473827.4</v>
      </c>
      <c r="BM28" s="154"/>
      <c r="BN28" s="154"/>
      <c r="BO28" s="154"/>
      <c r="BP28" s="154"/>
      <c r="BQ28" s="154"/>
      <c r="BR28" s="155">
        <f t="shared" si="19"/>
        <v>1473827.4</v>
      </c>
      <c r="BS28" s="198">
        <v>4675.94</v>
      </c>
      <c r="BT28" s="199">
        <v>4128</v>
      </c>
      <c r="BU28" s="20">
        <f t="shared" si="20"/>
        <v>-884703.46</v>
      </c>
      <c r="BV28" s="231">
        <v>518069.48</v>
      </c>
      <c r="BW28" s="229"/>
      <c r="BX28" s="230"/>
    </row>
    <row r="29" spans="1:76" ht="15.75" customHeight="1">
      <c r="A29" s="1">
        <v>22</v>
      </c>
      <c r="B29" s="1" t="s">
        <v>19</v>
      </c>
      <c r="C29" s="1">
        <v>3181.1</v>
      </c>
      <c r="D29" s="1">
        <v>0</v>
      </c>
      <c r="E29" s="1">
        <f t="shared" si="22"/>
        <v>3181.1</v>
      </c>
      <c r="F29" s="2">
        <v>14.14</v>
      </c>
      <c r="G29" s="2">
        <f t="shared" si="0"/>
        <v>44980.754</v>
      </c>
      <c r="H29" s="2">
        <f t="shared" si="11"/>
        <v>269884.524</v>
      </c>
      <c r="I29" s="2">
        <f t="shared" si="12"/>
        <v>14.14</v>
      </c>
      <c r="J29" s="2">
        <f t="shared" si="1"/>
        <v>44980.754</v>
      </c>
      <c r="K29" s="2">
        <f t="shared" si="13"/>
        <v>269884.524</v>
      </c>
      <c r="L29" s="97">
        <f t="shared" si="2"/>
        <v>539769.048</v>
      </c>
      <c r="M29" s="109">
        <v>3.92</v>
      </c>
      <c r="N29" s="89">
        <f t="shared" si="3"/>
        <v>149638.94400000002</v>
      </c>
      <c r="O29" s="64">
        <v>1.46</v>
      </c>
      <c r="P29" s="90">
        <f t="shared" si="4"/>
        <v>55732.872</v>
      </c>
      <c r="Q29" s="64"/>
      <c r="R29" s="90">
        <f t="shared" si="5"/>
        <v>0</v>
      </c>
      <c r="S29" s="64"/>
      <c r="T29" s="91">
        <f t="shared" si="6"/>
        <v>0</v>
      </c>
      <c r="U29" s="64">
        <v>0.47</v>
      </c>
      <c r="V29" s="90">
        <f t="shared" si="7"/>
        <v>17941.404</v>
      </c>
      <c r="W29" s="96"/>
      <c r="X29" s="91">
        <f t="shared" si="8"/>
        <v>0</v>
      </c>
      <c r="Y29" s="110">
        <f t="shared" si="14"/>
        <v>223313.22000000003</v>
      </c>
      <c r="Z29" s="32"/>
      <c r="AA29" s="12">
        <f t="shared" si="9"/>
        <v>0</v>
      </c>
      <c r="AB29" s="25">
        <f t="shared" si="10"/>
        <v>539769.048</v>
      </c>
      <c r="AC29" s="44"/>
      <c r="AD29" s="8">
        <f t="shared" si="15"/>
        <v>539769.048</v>
      </c>
      <c r="AE29" s="167">
        <v>208131.816</v>
      </c>
      <c r="AF29" s="168">
        <v>0</v>
      </c>
      <c r="AG29" s="168">
        <v>44980.75399999999</v>
      </c>
      <c r="AH29" s="168">
        <v>0</v>
      </c>
      <c r="AI29" s="168">
        <v>539769.048</v>
      </c>
      <c r="AJ29" s="78"/>
      <c r="AK29" s="59"/>
      <c r="AL29" s="45">
        <v>0</v>
      </c>
      <c r="AM29" s="45">
        <v>306537.75</v>
      </c>
      <c r="AN29" s="2">
        <v>0</v>
      </c>
      <c r="AO29" s="2">
        <v>193710.31</v>
      </c>
      <c r="AP29" s="1">
        <v>0</v>
      </c>
      <c r="AQ29" s="1">
        <v>219420.91</v>
      </c>
      <c r="AR29" s="24">
        <v>0</v>
      </c>
      <c r="AS29" s="24">
        <v>129376.58</v>
      </c>
      <c r="AT29" s="1">
        <v>0</v>
      </c>
      <c r="AU29" s="1">
        <v>29666.05</v>
      </c>
      <c r="AV29" s="24">
        <v>0</v>
      </c>
      <c r="AW29" s="24">
        <v>36480.25</v>
      </c>
      <c r="AX29" s="45">
        <v>0</v>
      </c>
      <c r="AY29" s="45">
        <v>25742.73</v>
      </c>
      <c r="AZ29" s="24">
        <v>0</v>
      </c>
      <c r="BA29" s="24">
        <v>90290.81</v>
      </c>
      <c r="BB29" s="24">
        <v>0</v>
      </c>
      <c r="BC29" s="24">
        <v>59710.6</v>
      </c>
      <c r="BD29" s="24">
        <v>0</v>
      </c>
      <c r="BE29" s="24">
        <v>21156.35</v>
      </c>
      <c r="BF29" s="24">
        <v>0</v>
      </c>
      <c r="BG29" s="24">
        <v>27448.02</v>
      </c>
      <c r="BH29" s="24">
        <v>0</v>
      </c>
      <c r="BI29" s="24">
        <v>32651.97</v>
      </c>
      <c r="BJ29" s="9">
        <f t="shared" si="16"/>
        <v>0</v>
      </c>
      <c r="BK29" s="9">
        <f t="shared" si="17"/>
        <v>1172192.33</v>
      </c>
      <c r="BL29" s="153">
        <f t="shared" si="18"/>
        <v>1172192.33</v>
      </c>
      <c r="BM29" s="154"/>
      <c r="BN29" s="154"/>
      <c r="BO29" s="154"/>
      <c r="BP29" s="154"/>
      <c r="BQ29" s="154"/>
      <c r="BR29" s="155">
        <f t="shared" si="19"/>
        <v>1172192.33</v>
      </c>
      <c r="BS29" s="198">
        <v>4643.24</v>
      </c>
      <c r="BT29" s="199">
        <v>4128</v>
      </c>
      <c r="BU29" s="20">
        <f t="shared" si="20"/>
        <v>-627780.0420000001</v>
      </c>
      <c r="BV29" s="231">
        <v>1163431.42</v>
      </c>
      <c r="BW29" s="229"/>
      <c r="BX29" s="230"/>
    </row>
    <row r="30" spans="1:76" ht="15.75" customHeight="1">
      <c r="A30" s="1">
        <v>23</v>
      </c>
      <c r="B30" s="1" t="s">
        <v>20</v>
      </c>
      <c r="C30" s="1">
        <v>1992.6</v>
      </c>
      <c r="D30" s="1">
        <v>42.4</v>
      </c>
      <c r="E30" s="1">
        <f t="shared" si="22"/>
        <v>2035</v>
      </c>
      <c r="F30" s="2">
        <v>15.22</v>
      </c>
      <c r="G30" s="2">
        <f t="shared" si="0"/>
        <v>30972.7</v>
      </c>
      <c r="H30" s="2">
        <f t="shared" si="11"/>
        <v>185836.2</v>
      </c>
      <c r="I30" s="2">
        <f t="shared" si="12"/>
        <v>15.22</v>
      </c>
      <c r="J30" s="2">
        <f t="shared" si="1"/>
        <v>30972.7</v>
      </c>
      <c r="K30" s="2">
        <f t="shared" si="13"/>
        <v>185836.2</v>
      </c>
      <c r="L30" s="97">
        <f t="shared" si="2"/>
        <v>371672.4</v>
      </c>
      <c r="M30" s="109">
        <v>3.92</v>
      </c>
      <c r="N30" s="89">
        <f t="shared" si="3"/>
        <v>95726.4</v>
      </c>
      <c r="O30" s="64">
        <v>1.46</v>
      </c>
      <c r="P30" s="90">
        <f t="shared" si="4"/>
        <v>35653.2</v>
      </c>
      <c r="Q30" s="64"/>
      <c r="R30" s="90">
        <f t="shared" si="5"/>
        <v>0</v>
      </c>
      <c r="S30" s="64"/>
      <c r="T30" s="91">
        <f t="shared" si="6"/>
        <v>0</v>
      </c>
      <c r="U30" s="64">
        <v>0.74</v>
      </c>
      <c r="V30" s="90">
        <f t="shared" si="7"/>
        <v>18070.800000000003</v>
      </c>
      <c r="W30" s="96"/>
      <c r="X30" s="91">
        <f t="shared" si="8"/>
        <v>0</v>
      </c>
      <c r="Y30" s="110">
        <f t="shared" si="14"/>
        <v>149450.39999999997</v>
      </c>
      <c r="Z30" s="32"/>
      <c r="AA30" s="12">
        <f t="shared" si="9"/>
        <v>0</v>
      </c>
      <c r="AB30" s="25">
        <f t="shared" si="10"/>
        <v>371672.4</v>
      </c>
      <c r="AC30" s="44"/>
      <c r="AD30" s="8">
        <f t="shared" si="15"/>
        <v>371672.4</v>
      </c>
      <c r="AE30" s="167">
        <v>134139.6</v>
      </c>
      <c r="AF30" s="168">
        <v>17806.669236224945</v>
      </c>
      <c r="AG30" s="168">
        <v>13166.030763775057</v>
      </c>
      <c r="AH30" s="168">
        <v>213680.03083469934</v>
      </c>
      <c r="AI30" s="168">
        <v>157992.36916530068</v>
      </c>
      <c r="AJ30" s="78"/>
      <c r="AK30" s="59"/>
      <c r="AL30" s="45">
        <v>33442.16</v>
      </c>
      <c r="AM30" s="45">
        <v>5785.55</v>
      </c>
      <c r="AN30" s="2">
        <v>13688.33</v>
      </c>
      <c r="AO30" s="2">
        <v>15051.6</v>
      </c>
      <c r="AP30" s="1">
        <v>3663</v>
      </c>
      <c r="AQ30" s="1">
        <v>5785.55</v>
      </c>
      <c r="AR30" s="24">
        <v>3663</v>
      </c>
      <c r="AS30" s="24">
        <v>19334.55</v>
      </c>
      <c r="AT30" s="1">
        <v>9507.25</v>
      </c>
      <c r="AU30" s="1">
        <v>31329</v>
      </c>
      <c r="AV30" s="24">
        <v>12285.9</v>
      </c>
      <c r="AW30" s="24">
        <v>5785.55</v>
      </c>
      <c r="AX30" s="45">
        <v>7897.25</v>
      </c>
      <c r="AY30" s="45">
        <v>20590.43</v>
      </c>
      <c r="AZ30" s="24">
        <v>6817.25</v>
      </c>
      <c r="BA30" s="24">
        <v>7285.55</v>
      </c>
      <c r="BB30" s="24">
        <v>8784.25</v>
      </c>
      <c r="BC30" s="24">
        <v>9120.99</v>
      </c>
      <c r="BD30" s="24">
        <v>3663</v>
      </c>
      <c r="BE30" s="24">
        <v>9498.8</v>
      </c>
      <c r="BF30" s="24">
        <v>5009.12</v>
      </c>
      <c r="BG30" s="24">
        <v>10357.94</v>
      </c>
      <c r="BH30" s="24">
        <v>36135.6</v>
      </c>
      <c r="BI30" s="24">
        <v>70391.44</v>
      </c>
      <c r="BJ30" s="9">
        <f t="shared" si="16"/>
        <v>144556.11</v>
      </c>
      <c r="BK30" s="9">
        <f t="shared" si="17"/>
        <v>210316.95</v>
      </c>
      <c r="BL30" s="153">
        <f t="shared" si="18"/>
        <v>354873.06</v>
      </c>
      <c r="BM30" s="154"/>
      <c r="BN30" s="154"/>
      <c r="BO30" s="154"/>
      <c r="BP30" s="154"/>
      <c r="BQ30" s="154"/>
      <c r="BR30" s="155">
        <f t="shared" si="19"/>
        <v>354873.06</v>
      </c>
      <c r="BS30" s="198">
        <v>1485.7</v>
      </c>
      <c r="BT30" s="199">
        <v>4128</v>
      </c>
      <c r="BU30" s="20">
        <f t="shared" si="20"/>
        <v>18285.040000000026</v>
      </c>
      <c r="BV30" s="231">
        <v>54270.45</v>
      </c>
      <c r="BW30" s="229"/>
      <c r="BX30" s="230"/>
    </row>
    <row r="31" spans="1:76" ht="15.75" customHeight="1">
      <c r="A31" s="1">
        <v>24</v>
      </c>
      <c r="B31" s="1" t="s">
        <v>21</v>
      </c>
      <c r="C31" s="1">
        <v>2165.8</v>
      </c>
      <c r="D31" s="1">
        <v>665.76</v>
      </c>
      <c r="E31" s="1">
        <f t="shared" si="22"/>
        <v>2831.5600000000004</v>
      </c>
      <c r="F31" s="2">
        <v>14.67</v>
      </c>
      <c r="G31" s="2">
        <f t="shared" si="0"/>
        <v>41538.9852</v>
      </c>
      <c r="H31" s="2">
        <f t="shared" si="11"/>
        <v>249233.91120000003</v>
      </c>
      <c r="I31" s="2">
        <f t="shared" si="12"/>
        <v>14.67</v>
      </c>
      <c r="J31" s="2">
        <f t="shared" si="1"/>
        <v>41538.9852</v>
      </c>
      <c r="K31" s="2">
        <f t="shared" si="13"/>
        <v>249233.91120000003</v>
      </c>
      <c r="L31" s="97">
        <f t="shared" si="2"/>
        <v>498467.82240000006</v>
      </c>
      <c r="M31" s="109">
        <v>3.92</v>
      </c>
      <c r="N31" s="89">
        <f t="shared" si="3"/>
        <v>133196.5824</v>
      </c>
      <c r="O31" s="64">
        <v>1.46</v>
      </c>
      <c r="P31" s="90">
        <f t="shared" si="4"/>
        <v>49608.931200000006</v>
      </c>
      <c r="Q31" s="64"/>
      <c r="R31" s="90">
        <f t="shared" si="5"/>
        <v>0</v>
      </c>
      <c r="S31" s="64"/>
      <c r="T31" s="91">
        <f t="shared" si="6"/>
        <v>0</v>
      </c>
      <c r="U31" s="64">
        <v>0.53</v>
      </c>
      <c r="V31" s="90">
        <f t="shared" si="7"/>
        <v>18008.721600000004</v>
      </c>
      <c r="W31" s="96"/>
      <c r="X31" s="91">
        <f t="shared" si="8"/>
        <v>0</v>
      </c>
      <c r="Y31" s="110">
        <f t="shared" si="14"/>
        <v>200814.2352</v>
      </c>
      <c r="Z31" s="32">
        <v>-704917.35</v>
      </c>
      <c r="AA31" s="12">
        <f t="shared" si="9"/>
        <v>-1.4141682137193854</v>
      </c>
      <c r="AB31" s="25">
        <f t="shared" si="10"/>
        <v>-206449.5275999999</v>
      </c>
      <c r="AC31" s="44"/>
      <c r="AD31" s="8">
        <f t="shared" si="15"/>
        <v>-206449.5275999999</v>
      </c>
      <c r="AE31" s="167">
        <v>185565.5136</v>
      </c>
      <c r="AF31" s="168">
        <v>8832.508189290835</v>
      </c>
      <c r="AG31" s="168">
        <v>6631.2846107091655</v>
      </c>
      <c r="AH31" s="168">
        <v>105990.09827149002</v>
      </c>
      <c r="AI31" s="168">
        <v>79575.41532850999</v>
      </c>
      <c r="AJ31" s="78"/>
      <c r="AK31" s="26" t="s">
        <v>352</v>
      </c>
      <c r="AL31" s="45">
        <v>11666.19</v>
      </c>
      <c r="AM31" s="45">
        <v>9309.07</v>
      </c>
      <c r="AN31" s="2">
        <v>14962.57</v>
      </c>
      <c r="AO31" s="2">
        <v>20916.99</v>
      </c>
      <c r="AP31" s="1">
        <v>30049.01</v>
      </c>
      <c r="AQ31" s="1">
        <v>76428.97</v>
      </c>
      <c r="AR31" s="24">
        <v>6600.76</v>
      </c>
      <c r="AS31" s="24">
        <v>18093.11</v>
      </c>
      <c r="AT31" s="1">
        <v>11749.31</v>
      </c>
      <c r="AU31" s="1">
        <v>7959.07</v>
      </c>
      <c r="AV31" s="24">
        <v>12316.31</v>
      </c>
      <c r="AW31" s="24">
        <v>29248.8</v>
      </c>
      <c r="AX31" s="45">
        <v>12829.31</v>
      </c>
      <c r="AY31" s="45">
        <v>11316.61</v>
      </c>
      <c r="AZ31" s="24">
        <v>142541.7</v>
      </c>
      <c r="BA31" s="24">
        <v>57426.59</v>
      </c>
      <c r="BB31" s="24">
        <v>14471.06</v>
      </c>
      <c r="BC31" s="24">
        <v>32787.97</v>
      </c>
      <c r="BD31" s="24">
        <v>11735.25</v>
      </c>
      <c r="BE31" s="24">
        <v>15569.57</v>
      </c>
      <c r="BF31" s="24">
        <v>32254.7</v>
      </c>
      <c r="BG31" s="24">
        <v>16603.44</v>
      </c>
      <c r="BH31" s="24">
        <v>22856.66</v>
      </c>
      <c r="BI31" s="24">
        <v>8909.07</v>
      </c>
      <c r="BJ31" s="9">
        <f t="shared" si="16"/>
        <v>324032.83</v>
      </c>
      <c r="BK31" s="9">
        <f t="shared" si="17"/>
        <v>304569.26</v>
      </c>
      <c r="BL31" s="153">
        <f t="shared" si="18"/>
        <v>628602.0900000001</v>
      </c>
      <c r="BM31" s="154"/>
      <c r="BN31" s="154">
        <v>18349.2</v>
      </c>
      <c r="BO31" s="154"/>
      <c r="BP31" s="154"/>
      <c r="BQ31" s="154"/>
      <c r="BR31" s="155">
        <f t="shared" si="19"/>
        <v>646951.29</v>
      </c>
      <c r="BS31" s="198">
        <v>2074.12</v>
      </c>
      <c r="BT31" s="199">
        <v>4128</v>
      </c>
      <c r="BU31" s="20">
        <f t="shared" si="20"/>
        <v>-851326.6976</v>
      </c>
      <c r="BV31" s="231">
        <v>2945688.29</v>
      </c>
      <c r="BW31" s="229"/>
      <c r="BX31" s="230"/>
    </row>
    <row r="32" spans="1:76" ht="15.75">
      <c r="A32" s="1">
        <v>25</v>
      </c>
      <c r="B32" s="1" t="s">
        <v>22</v>
      </c>
      <c r="C32" s="1">
        <v>2335.7</v>
      </c>
      <c r="D32" s="1">
        <v>173.3</v>
      </c>
      <c r="E32" s="1">
        <f t="shared" si="22"/>
        <v>2509</v>
      </c>
      <c r="F32" s="2">
        <v>14.67</v>
      </c>
      <c r="G32" s="2">
        <f t="shared" si="0"/>
        <v>36807.03</v>
      </c>
      <c r="H32" s="2">
        <f t="shared" si="11"/>
        <v>220842.18</v>
      </c>
      <c r="I32" s="2">
        <f t="shared" si="12"/>
        <v>14.67</v>
      </c>
      <c r="J32" s="2">
        <f t="shared" si="1"/>
        <v>36807.03</v>
      </c>
      <c r="K32" s="2">
        <f t="shared" si="13"/>
        <v>220842.18</v>
      </c>
      <c r="L32" s="97">
        <f t="shared" si="2"/>
        <v>441684.36</v>
      </c>
      <c r="M32" s="109">
        <v>3.92</v>
      </c>
      <c r="N32" s="89">
        <f t="shared" si="3"/>
        <v>118023.36000000002</v>
      </c>
      <c r="O32" s="64">
        <v>1.46</v>
      </c>
      <c r="P32" s="90">
        <f t="shared" si="4"/>
        <v>43957.68</v>
      </c>
      <c r="Q32" s="64"/>
      <c r="R32" s="90">
        <f t="shared" si="5"/>
        <v>0</v>
      </c>
      <c r="S32" s="64"/>
      <c r="T32" s="91">
        <f t="shared" si="6"/>
        <v>0</v>
      </c>
      <c r="U32" s="64">
        <v>0.6</v>
      </c>
      <c r="V32" s="90">
        <f t="shared" si="7"/>
        <v>18064.8</v>
      </c>
      <c r="W32" s="96"/>
      <c r="X32" s="91">
        <f t="shared" si="8"/>
        <v>0</v>
      </c>
      <c r="Y32" s="110">
        <f t="shared" si="14"/>
        <v>180045.84</v>
      </c>
      <c r="Z32" s="32"/>
      <c r="AA32" s="12">
        <f t="shared" si="9"/>
        <v>0</v>
      </c>
      <c r="AB32" s="25">
        <f t="shared" si="10"/>
        <v>441684.36</v>
      </c>
      <c r="AC32" s="44"/>
      <c r="AD32" s="8">
        <f t="shared" si="15"/>
        <v>441684.36</v>
      </c>
      <c r="AE32" s="167">
        <v>167501.04000000004</v>
      </c>
      <c r="AF32" s="168">
        <v>21771.67492377188</v>
      </c>
      <c r="AG32" s="168">
        <v>15035.355076228121</v>
      </c>
      <c r="AH32" s="168">
        <v>261260.09908526257</v>
      </c>
      <c r="AI32" s="168">
        <v>180424.26091473745</v>
      </c>
      <c r="AJ32" s="78"/>
      <c r="AK32" s="59"/>
      <c r="AL32" s="45">
        <v>11705.39</v>
      </c>
      <c r="AM32" s="45">
        <v>7315.3</v>
      </c>
      <c r="AN32" s="2">
        <v>56177.07</v>
      </c>
      <c r="AO32" s="2">
        <v>44542.56</v>
      </c>
      <c r="AP32" s="1">
        <v>44746.71</v>
      </c>
      <c r="AQ32" s="1">
        <v>56688.52</v>
      </c>
      <c r="AR32" s="24">
        <v>12032.38</v>
      </c>
      <c r="AS32" s="24">
        <v>19883.07</v>
      </c>
      <c r="AT32" s="1">
        <v>14868.1</v>
      </c>
      <c r="AU32" s="1">
        <v>13857.22</v>
      </c>
      <c r="AV32" s="24">
        <v>10851.57</v>
      </c>
      <c r="AW32" s="24">
        <v>25347.64</v>
      </c>
      <c r="AX32" s="45">
        <v>14538.57</v>
      </c>
      <c r="AY32" s="45">
        <v>32697.39</v>
      </c>
      <c r="AZ32" s="24">
        <v>25489.44</v>
      </c>
      <c r="BA32" s="24">
        <v>22413.12</v>
      </c>
      <c r="BB32" s="24">
        <v>14935.07</v>
      </c>
      <c r="BC32" s="24">
        <v>13124.12</v>
      </c>
      <c r="BD32" s="24">
        <v>30518.45</v>
      </c>
      <c r="BE32" s="24">
        <v>8437.93</v>
      </c>
      <c r="BF32" s="24">
        <v>33075.98</v>
      </c>
      <c r="BG32" s="24">
        <v>7315.3</v>
      </c>
      <c r="BH32" s="24">
        <v>10887.52</v>
      </c>
      <c r="BI32" s="24">
        <v>18959.91</v>
      </c>
      <c r="BJ32" s="9">
        <f t="shared" si="16"/>
        <v>279826.25000000006</v>
      </c>
      <c r="BK32" s="9">
        <f t="shared" si="17"/>
        <v>270582.07999999996</v>
      </c>
      <c r="BL32" s="153">
        <f t="shared" si="18"/>
        <v>550408.3300000001</v>
      </c>
      <c r="BM32" s="154"/>
      <c r="BN32" s="154"/>
      <c r="BO32" s="154"/>
      <c r="BP32" s="154"/>
      <c r="BQ32" s="154"/>
      <c r="BR32" s="155">
        <f t="shared" si="19"/>
        <v>550408.3300000001</v>
      </c>
      <c r="BS32" s="198">
        <v>1839.89</v>
      </c>
      <c r="BT32" s="199">
        <v>4128</v>
      </c>
      <c r="BU32" s="20">
        <f t="shared" si="20"/>
        <v>-106884.08000000009</v>
      </c>
      <c r="BV32" s="231">
        <v>2107737.79</v>
      </c>
      <c r="BW32" s="229"/>
      <c r="BX32" s="230"/>
    </row>
    <row r="33" spans="1:76" ht="15.75" customHeight="1">
      <c r="A33" s="1">
        <v>26</v>
      </c>
      <c r="B33" s="1" t="s">
        <v>23</v>
      </c>
      <c r="C33" s="1">
        <v>3210.9</v>
      </c>
      <c r="D33" s="1">
        <v>159.4</v>
      </c>
      <c r="E33" s="1">
        <f t="shared" si="22"/>
        <v>3370.3</v>
      </c>
      <c r="F33" s="2">
        <v>15.22</v>
      </c>
      <c r="G33" s="2">
        <f t="shared" si="0"/>
        <v>51295.96600000001</v>
      </c>
      <c r="H33" s="2">
        <f t="shared" si="11"/>
        <v>307775.79600000003</v>
      </c>
      <c r="I33" s="2">
        <f t="shared" si="12"/>
        <v>15.22</v>
      </c>
      <c r="J33" s="2">
        <f t="shared" si="1"/>
        <v>51295.96600000001</v>
      </c>
      <c r="K33" s="2">
        <f t="shared" si="13"/>
        <v>307775.79600000003</v>
      </c>
      <c r="L33" s="97">
        <f t="shared" si="2"/>
        <v>615551.5920000001</v>
      </c>
      <c r="M33" s="109">
        <v>3.92</v>
      </c>
      <c r="N33" s="89">
        <f t="shared" si="3"/>
        <v>158538.912</v>
      </c>
      <c r="O33" s="64">
        <v>1.46</v>
      </c>
      <c r="P33" s="90">
        <f t="shared" si="4"/>
        <v>59047.656</v>
      </c>
      <c r="Q33" s="64"/>
      <c r="R33" s="90">
        <f t="shared" si="5"/>
        <v>0</v>
      </c>
      <c r="S33" s="64"/>
      <c r="T33" s="91">
        <f t="shared" si="6"/>
        <v>0</v>
      </c>
      <c r="U33" s="64">
        <v>0.44</v>
      </c>
      <c r="V33" s="90">
        <f t="shared" si="7"/>
        <v>17795.184</v>
      </c>
      <c r="W33" s="96"/>
      <c r="X33" s="91">
        <f t="shared" si="8"/>
        <v>0</v>
      </c>
      <c r="Y33" s="110">
        <f t="shared" si="14"/>
        <v>235381.75200000004</v>
      </c>
      <c r="Z33" s="32"/>
      <c r="AA33" s="12">
        <f t="shared" si="9"/>
        <v>0</v>
      </c>
      <c r="AB33" s="25">
        <f t="shared" si="10"/>
        <v>615551.5920000001</v>
      </c>
      <c r="AC33" s="44"/>
      <c r="AD33" s="8">
        <f t="shared" si="15"/>
        <v>615551.5920000001</v>
      </c>
      <c r="AE33" s="167">
        <v>220346.568</v>
      </c>
      <c r="AF33" s="168">
        <v>29902.6160029747</v>
      </c>
      <c r="AG33" s="168">
        <v>21393.349997025307</v>
      </c>
      <c r="AH33" s="168">
        <v>358831.3920356964</v>
      </c>
      <c r="AI33" s="168">
        <v>256720.19996430367</v>
      </c>
      <c r="AJ33" s="78"/>
      <c r="AK33" s="59"/>
      <c r="AL33" s="45">
        <v>42674.75</v>
      </c>
      <c r="AM33" s="45">
        <v>9199.83</v>
      </c>
      <c r="AN33" s="2">
        <v>6788.46</v>
      </c>
      <c r="AO33" s="2">
        <v>9199.83</v>
      </c>
      <c r="AP33" s="1">
        <v>15349.54</v>
      </c>
      <c r="AQ33" s="1">
        <v>14611.82</v>
      </c>
      <c r="AR33" s="24">
        <v>16479.38</v>
      </c>
      <c r="AS33" s="24">
        <v>21691.62</v>
      </c>
      <c r="AT33" s="1">
        <v>15609.17</v>
      </c>
      <c r="AU33" s="1">
        <v>13165.12</v>
      </c>
      <c r="AV33" s="24">
        <v>13875.67</v>
      </c>
      <c r="AW33" s="24">
        <v>70159.81</v>
      </c>
      <c r="AX33" s="45">
        <v>12041.57</v>
      </c>
      <c r="AY33" s="45">
        <v>9199.83</v>
      </c>
      <c r="AZ33" s="24">
        <v>11289.17</v>
      </c>
      <c r="BA33" s="24">
        <v>17134.83</v>
      </c>
      <c r="BB33" s="24">
        <v>16376.42</v>
      </c>
      <c r="BC33" s="24">
        <v>15343.3</v>
      </c>
      <c r="BD33" s="24">
        <v>32911.21</v>
      </c>
      <c r="BE33" s="24">
        <v>15762.62</v>
      </c>
      <c r="BF33" s="24">
        <v>10024.86</v>
      </c>
      <c r="BG33" s="24">
        <v>26881.29</v>
      </c>
      <c r="BH33" s="24">
        <v>11695.61</v>
      </c>
      <c r="BI33" s="24">
        <v>50450.66</v>
      </c>
      <c r="BJ33" s="9">
        <f t="shared" si="16"/>
        <v>205115.81</v>
      </c>
      <c r="BK33" s="9">
        <f t="shared" si="17"/>
        <v>272800.55999999994</v>
      </c>
      <c r="BL33" s="153">
        <f t="shared" si="18"/>
        <v>477916.36999999994</v>
      </c>
      <c r="BM33" s="154"/>
      <c r="BN33" s="154"/>
      <c r="BO33" s="154"/>
      <c r="BP33" s="154"/>
      <c r="BQ33" s="154"/>
      <c r="BR33" s="155">
        <f t="shared" si="19"/>
        <v>477916.36999999994</v>
      </c>
      <c r="BS33" s="198">
        <v>2457.91</v>
      </c>
      <c r="BT33" s="199">
        <v>4128</v>
      </c>
      <c r="BU33" s="20">
        <f t="shared" si="20"/>
        <v>140093.13200000013</v>
      </c>
      <c r="BV33" s="231">
        <v>178445.29</v>
      </c>
      <c r="BW33" s="229"/>
      <c r="BX33" s="230"/>
    </row>
    <row r="34" spans="1:76" ht="15.75" customHeight="1">
      <c r="A34" s="1">
        <v>27</v>
      </c>
      <c r="B34" s="1" t="s">
        <v>24</v>
      </c>
      <c r="C34" s="1">
        <v>839</v>
      </c>
      <c r="D34" s="1">
        <v>0</v>
      </c>
      <c r="E34" s="1">
        <f t="shared" si="22"/>
        <v>839</v>
      </c>
      <c r="F34" s="2">
        <v>15.35</v>
      </c>
      <c r="G34" s="2">
        <f t="shared" si="0"/>
        <v>12878.65</v>
      </c>
      <c r="H34" s="2">
        <f t="shared" si="11"/>
        <v>77271.9</v>
      </c>
      <c r="I34" s="2">
        <f t="shared" si="12"/>
        <v>15.35</v>
      </c>
      <c r="J34" s="2">
        <f t="shared" si="1"/>
        <v>12878.65</v>
      </c>
      <c r="K34" s="2">
        <f t="shared" si="13"/>
        <v>77271.9</v>
      </c>
      <c r="L34" s="97">
        <f t="shared" si="2"/>
        <v>154543.8</v>
      </c>
      <c r="M34" s="109">
        <v>3.92</v>
      </c>
      <c r="N34" s="89">
        <f t="shared" si="3"/>
        <v>39466.56</v>
      </c>
      <c r="O34" s="64">
        <v>1.46</v>
      </c>
      <c r="P34" s="90">
        <f t="shared" si="4"/>
        <v>14699.28</v>
      </c>
      <c r="Q34" s="64"/>
      <c r="R34" s="90">
        <f t="shared" si="5"/>
        <v>0</v>
      </c>
      <c r="S34" s="64"/>
      <c r="T34" s="91">
        <f t="shared" si="6"/>
        <v>0</v>
      </c>
      <c r="U34" s="64">
        <v>1.37</v>
      </c>
      <c r="V34" s="90">
        <f t="shared" si="7"/>
        <v>13793.16</v>
      </c>
      <c r="W34" s="96"/>
      <c r="X34" s="91">
        <f t="shared" si="8"/>
        <v>0</v>
      </c>
      <c r="Y34" s="110">
        <f t="shared" si="14"/>
        <v>67959</v>
      </c>
      <c r="Z34" s="32"/>
      <c r="AA34" s="12">
        <f t="shared" si="9"/>
        <v>0</v>
      </c>
      <c r="AB34" s="25">
        <f t="shared" si="10"/>
        <v>154543.8</v>
      </c>
      <c r="AC34" s="44"/>
      <c r="AD34" s="8">
        <f t="shared" si="15"/>
        <v>154543.8</v>
      </c>
      <c r="AE34" s="167">
        <v>56925.84000000001</v>
      </c>
      <c r="AF34" s="168">
        <v>6944.683429895912</v>
      </c>
      <c r="AG34" s="168">
        <v>5933.966570104087</v>
      </c>
      <c r="AH34" s="168">
        <v>83336.20115875095</v>
      </c>
      <c r="AI34" s="168">
        <v>71207.59884124904</v>
      </c>
      <c r="AJ34" s="78"/>
      <c r="AK34" s="59"/>
      <c r="AL34" s="45">
        <v>1510.2</v>
      </c>
      <c r="AM34" s="45">
        <v>2520.47</v>
      </c>
      <c r="AN34" s="2">
        <v>1510.2</v>
      </c>
      <c r="AO34" s="2">
        <v>2520.47</v>
      </c>
      <c r="AP34" s="1">
        <v>1510.2</v>
      </c>
      <c r="AQ34" s="1">
        <v>4539.55</v>
      </c>
      <c r="AR34" s="24">
        <v>5830.2</v>
      </c>
      <c r="AS34" s="24">
        <v>3796.47</v>
      </c>
      <c r="AT34" s="1">
        <v>2810.65</v>
      </c>
      <c r="AU34" s="1">
        <v>4935.99</v>
      </c>
      <c r="AV34" s="24">
        <v>4175.65</v>
      </c>
      <c r="AW34" s="24">
        <v>2520.47</v>
      </c>
      <c r="AX34" s="45">
        <v>15853.46</v>
      </c>
      <c r="AY34" s="45">
        <v>2520.47</v>
      </c>
      <c r="AZ34" s="24">
        <v>2810.65</v>
      </c>
      <c r="BA34" s="24">
        <v>2520.47</v>
      </c>
      <c r="BB34" s="24">
        <v>20180.64</v>
      </c>
      <c r="BC34" s="24">
        <v>24711.05</v>
      </c>
      <c r="BD34" s="24">
        <v>15617.21</v>
      </c>
      <c r="BE34" s="24">
        <v>2520.47</v>
      </c>
      <c r="BF34" s="24">
        <v>4591.74</v>
      </c>
      <c r="BG34" s="24">
        <v>2520.47</v>
      </c>
      <c r="BH34" s="24">
        <v>1510.2</v>
      </c>
      <c r="BI34" s="24">
        <v>2520.47</v>
      </c>
      <c r="BJ34" s="9">
        <f t="shared" si="16"/>
        <v>77911</v>
      </c>
      <c r="BK34" s="9">
        <f t="shared" si="17"/>
        <v>58146.82000000001</v>
      </c>
      <c r="BL34" s="153">
        <f t="shared" si="18"/>
        <v>136057.82</v>
      </c>
      <c r="BM34" s="154"/>
      <c r="BN34" s="154"/>
      <c r="BO34" s="154"/>
      <c r="BP34" s="154"/>
      <c r="BQ34" s="154"/>
      <c r="BR34" s="155">
        <f t="shared" si="19"/>
        <v>136057.82</v>
      </c>
      <c r="BS34" s="198"/>
      <c r="BT34" s="199"/>
      <c r="BU34" s="20">
        <f t="shared" si="20"/>
        <v>18485.97999999998</v>
      </c>
      <c r="BV34" s="231">
        <v>532595.72</v>
      </c>
      <c r="BW34" s="229"/>
      <c r="BX34" s="230"/>
    </row>
    <row r="35" spans="1:76" ht="15.75">
      <c r="A35" s="1">
        <v>28</v>
      </c>
      <c r="B35" s="1" t="s">
        <v>25</v>
      </c>
      <c r="C35" s="1">
        <v>2007.3</v>
      </c>
      <c r="D35" s="1">
        <v>0</v>
      </c>
      <c r="E35" s="1">
        <f t="shared" si="22"/>
        <v>2007.3</v>
      </c>
      <c r="F35" s="2">
        <v>14.8</v>
      </c>
      <c r="G35" s="2">
        <f t="shared" si="0"/>
        <v>29708.04</v>
      </c>
      <c r="H35" s="2">
        <f t="shared" si="11"/>
        <v>178248.24</v>
      </c>
      <c r="I35" s="2">
        <f t="shared" si="12"/>
        <v>14.8</v>
      </c>
      <c r="J35" s="2">
        <f t="shared" si="1"/>
        <v>29708.04</v>
      </c>
      <c r="K35" s="2">
        <f t="shared" si="13"/>
        <v>178248.24</v>
      </c>
      <c r="L35" s="97">
        <f t="shared" si="2"/>
        <v>356496.48</v>
      </c>
      <c r="M35" s="109">
        <v>3.92</v>
      </c>
      <c r="N35" s="89">
        <f t="shared" si="3"/>
        <v>94423.39199999999</v>
      </c>
      <c r="O35" s="64">
        <v>1.46</v>
      </c>
      <c r="P35" s="90">
        <f t="shared" si="4"/>
        <v>35167.896</v>
      </c>
      <c r="Q35" s="64"/>
      <c r="R35" s="90">
        <f t="shared" si="5"/>
        <v>0</v>
      </c>
      <c r="S35" s="64"/>
      <c r="T35" s="91">
        <f t="shared" si="6"/>
        <v>0</v>
      </c>
      <c r="U35" s="64">
        <v>0.75</v>
      </c>
      <c r="V35" s="90">
        <f t="shared" si="7"/>
        <v>18065.699999999997</v>
      </c>
      <c r="W35" s="96"/>
      <c r="X35" s="91">
        <f t="shared" si="8"/>
        <v>0</v>
      </c>
      <c r="Y35" s="110">
        <f t="shared" si="14"/>
        <v>147656.988</v>
      </c>
      <c r="Z35" s="32">
        <v>-590320.36</v>
      </c>
      <c r="AA35" s="12">
        <f t="shared" si="9"/>
        <v>-1.6558939375782897</v>
      </c>
      <c r="AB35" s="25">
        <f t="shared" si="10"/>
        <v>-233823.88</v>
      </c>
      <c r="AC35" s="44"/>
      <c r="AD35" s="8">
        <f t="shared" si="15"/>
        <v>-233823.88</v>
      </c>
      <c r="AE35" s="167">
        <v>68278.27200000001</v>
      </c>
      <c r="AF35" s="168">
        <v>3210.928313544127</v>
      </c>
      <c r="AG35" s="168">
        <v>2478.927686455874</v>
      </c>
      <c r="AH35" s="168">
        <v>38531.13976252952</v>
      </c>
      <c r="AI35" s="168">
        <v>29747.13223747049</v>
      </c>
      <c r="AJ35" s="78" t="s">
        <v>296</v>
      </c>
      <c r="AK35" s="26" t="s">
        <v>352</v>
      </c>
      <c r="AL35" s="45">
        <v>0</v>
      </c>
      <c r="AM35" s="45">
        <v>17363.07</v>
      </c>
      <c r="AN35" s="2">
        <v>5838.75</v>
      </c>
      <c r="AO35" s="2">
        <v>14512.79</v>
      </c>
      <c r="AP35" s="1">
        <v>1313.74</v>
      </c>
      <c r="AQ35" s="1">
        <v>10287</v>
      </c>
      <c r="AR35" s="24">
        <v>1080</v>
      </c>
      <c r="AS35" s="24">
        <v>6985.93</v>
      </c>
      <c r="AT35" s="1">
        <v>0</v>
      </c>
      <c r="AU35" s="1">
        <v>5709.93</v>
      </c>
      <c r="AV35" s="24">
        <v>8450.74</v>
      </c>
      <c r="AW35" s="24">
        <v>5709.93</v>
      </c>
      <c r="AX35" s="45">
        <v>0</v>
      </c>
      <c r="AY35" s="45">
        <v>17040.09</v>
      </c>
      <c r="AZ35" s="24">
        <v>0</v>
      </c>
      <c r="BA35" s="24">
        <v>8683.92</v>
      </c>
      <c r="BB35" s="24">
        <v>0</v>
      </c>
      <c r="BC35" s="24">
        <v>9077.49</v>
      </c>
      <c r="BD35" s="24">
        <v>1262.25</v>
      </c>
      <c r="BE35" s="24">
        <v>11081.06</v>
      </c>
      <c r="BF35" s="24">
        <v>814.57</v>
      </c>
      <c r="BG35" s="24">
        <v>10237.33</v>
      </c>
      <c r="BH35" s="24">
        <v>0</v>
      </c>
      <c r="BI35" s="24">
        <v>5709.93</v>
      </c>
      <c r="BJ35" s="9">
        <f t="shared" si="16"/>
        <v>18760.05</v>
      </c>
      <c r="BK35" s="9">
        <f t="shared" si="17"/>
        <v>122398.47</v>
      </c>
      <c r="BL35" s="153">
        <f t="shared" si="18"/>
        <v>141158.52</v>
      </c>
      <c r="BM35" s="154"/>
      <c r="BN35" s="154"/>
      <c r="BO35" s="154"/>
      <c r="BP35" s="154"/>
      <c r="BQ35" s="154"/>
      <c r="BR35" s="155">
        <f t="shared" si="19"/>
        <v>141158.52</v>
      </c>
      <c r="BS35" s="198">
        <v>1463.87</v>
      </c>
      <c r="BT35" s="199">
        <v>4128</v>
      </c>
      <c r="BU35" s="20">
        <f t="shared" si="20"/>
        <v>-373518.53</v>
      </c>
      <c r="BV35" s="231">
        <v>392392.02</v>
      </c>
      <c r="BW35" s="229"/>
      <c r="BX35" s="230"/>
    </row>
    <row r="36" spans="1:76" ht="15.75" customHeight="1">
      <c r="A36" s="1">
        <v>29</v>
      </c>
      <c r="B36" s="1" t="s">
        <v>26</v>
      </c>
      <c r="C36" s="1">
        <v>528.8</v>
      </c>
      <c r="D36" s="1">
        <v>0</v>
      </c>
      <c r="E36" s="1">
        <f t="shared" si="22"/>
        <v>528.8</v>
      </c>
      <c r="F36" s="2">
        <v>13.78</v>
      </c>
      <c r="G36" s="2">
        <f t="shared" si="0"/>
        <v>7286.863999999999</v>
      </c>
      <c r="H36" s="2">
        <f t="shared" si="11"/>
        <v>43721.183999999994</v>
      </c>
      <c r="I36" s="2">
        <f t="shared" si="12"/>
        <v>13.78</v>
      </c>
      <c r="J36" s="2">
        <f t="shared" si="1"/>
        <v>7286.863999999999</v>
      </c>
      <c r="K36" s="2">
        <f t="shared" si="13"/>
        <v>43721.183999999994</v>
      </c>
      <c r="L36" s="97">
        <f t="shared" si="2"/>
        <v>87442.36799999999</v>
      </c>
      <c r="M36" s="109">
        <v>3.92</v>
      </c>
      <c r="N36" s="89">
        <f t="shared" si="3"/>
        <v>24874.751999999997</v>
      </c>
      <c r="O36" s="64">
        <v>1.46</v>
      </c>
      <c r="P36" s="90">
        <f t="shared" si="4"/>
        <v>9264.576</v>
      </c>
      <c r="Q36" s="64"/>
      <c r="R36" s="90">
        <f t="shared" si="5"/>
        <v>0</v>
      </c>
      <c r="S36" s="64"/>
      <c r="T36" s="91">
        <f t="shared" si="6"/>
        <v>0</v>
      </c>
      <c r="U36" s="64">
        <v>2.18</v>
      </c>
      <c r="V36" s="90">
        <f t="shared" si="7"/>
        <v>13833.408</v>
      </c>
      <c r="W36" s="96"/>
      <c r="X36" s="91">
        <f t="shared" si="8"/>
        <v>0</v>
      </c>
      <c r="Y36" s="110">
        <f t="shared" si="14"/>
        <v>47972.73599999999</v>
      </c>
      <c r="Z36" s="32"/>
      <c r="AA36" s="12">
        <f t="shared" si="9"/>
        <v>0</v>
      </c>
      <c r="AB36" s="25">
        <f t="shared" si="10"/>
        <v>87442.36799999999</v>
      </c>
      <c r="AC36" s="44"/>
      <c r="AD36" s="8">
        <f t="shared" si="15"/>
        <v>87442.36799999999</v>
      </c>
      <c r="AE36" s="167">
        <v>39659.328</v>
      </c>
      <c r="AF36" s="168">
        <v>0</v>
      </c>
      <c r="AG36" s="168">
        <v>7286.863999999999</v>
      </c>
      <c r="AH36" s="168">
        <v>0</v>
      </c>
      <c r="AI36" s="168">
        <v>87442.36799999999</v>
      </c>
      <c r="AJ36" s="78"/>
      <c r="AK36" s="59"/>
      <c r="AL36" s="45">
        <v>0</v>
      </c>
      <c r="AM36" s="45">
        <v>26379.24</v>
      </c>
      <c r="AN36" s="2">
        <v>0</v>
      </c>
      <c r="AO36" s="2">
        <v>2625.46</v>
      </c>
      <c r="AP36" s="1">
        <v>0</v>
      </c>
      <c r="AQ36" s="1">
        <v>2625.46</v>
      </c>
      <c r="AR36" s="24">
        <v>0</v>
      </c>
      <c r="AS36" s="24">
        <v>3901.46</v>
      </c>
      <c r="AT36" s="1">
        <v>0</v>
      </c>
      <c r="AU36" s="1">
        <v>9981.07</v>
      </c>
      <c r="AV36" s="24">
        <v>0</v>
      </c>
      <c r="AW36" s="24">
        <v>3445.1</v>
      </c>
      <c r="AX36" s="45">
        <v>0</v>
      </c>
      <c r="AY36" s="45">
        <v>45860.95</v>
      </c>
      <c r="AZ36" s="24">
        <v>0</v>
      </c>
      <c r="BA36" s="24">
        <v>4166.56</v>
      </c>
      <c r="BB36" s="24">
        <v>0</v>
      </c>
      <c r="BC36" s="24">
        <v>24239.28</v>
      </c>
      <c r="BD36" s="24">
        <v>0</v>
      </c>
      <c r="BE36" s="24">
        <v>2625.46</v>
      </c>
      <c r="BF36" s="24">
        <v>0</v>
      </c>
      <c r="BG36" s="24">
        <v>2625.46</v>
      </c>
      <c r="BH36" s="24">
        <v>0</v>
      </c>
      <c r="BI36" s="24">
        <v>21846.18</v>
      </c>
      <c r="BJ36" s="9">
        <f t="shared" si="16"/>
        <v>0</v>
      </c>
      <c r="BK36" s="9">
        <f t="shared" si="17"/>
        <v>150321.68</v>
      </c>
      <c r="BL36" s="153">
        <f t="shared" si="18"/>
        <v>150321.68</v>
      </c>
      <c r="BM36" s="154"/>
      <c r="BN36" s="154"/>
      <c r="BO36" s="154"/>
      <c r="BP36" s="154"/>
      <c r="BQ36" s="154"/>
      <c r="BR36" s="155">
        <f t="shared" si="19"/>
        <v>150321.68</v>
      </c>
      <c r="BS36" s="198">
        <v>1544.1</v>
      </c>
      <c r="BT36" s="199">
        <v>13836</v>
      </c>
      <c r="BU36" s="20">
        <f t="shared" si="20"/>
        <v>-61335.21200000001</v>
      </c>
      <c r="BV36" s="231">
        <v>251131.17</v>
      </c>
      <c r="BW36" s="229"/>
      <c r="BX36" s="230"/>
    </row>
    <row r="37" spans="1:111" s="17" customFormat="1" ht="15.75">
      <c r="A37" s="1">
        <v>30</v>
      </c>
      <c r="B37" s="1" t="s">
        <v>27</v>
      </c>
      <c r="C37" s="1">
        <v>271.8</v>
      </c>
      <c r="D37" s="1">
        <v>0</v>
      </c>
      <c r="E37" s="1">
        <f t="shared" si="22"/>
        <v>271.8</v>
      </c>
      <c r="F37" s="2">
        <v>13.01</v>
      </c>
      <c r="G37" s="2">
        <f t="shared" si="0"/>
        <v>3536.118</v>
      </c>
      <c r="H37" s="2">
        <f t="shared" si="11"/>
        <v>21216.708</v>
      </c>
      <c r="I37" s="2">
        <f t="shared" si="12"/>
        <v>13.01</v>
      </c>
      <c r="J37" s="2">
        <f t="shared" si="1"/>
        <v>3536.118</v>
      </c>
      <c r="K37" s="2">
        <f t="shared" si="13"/>
        <v>21216.708</v>
      </c>
      <c r="L37" s="97">
        <f t="shared" si="2"/>
        <v>42433.416</v>
      </c>
      <c r="M37" s="109">
        <v>3.92</v>
      </c>
      <c r="N37" s="89">
        <f t="shared" si="3"/>
        <v>12785.472000000002</v>
      </c>
      <c r="O37" s="64">
        <v>1.46</v>
      </c>
      <c r="P37" s="90">
        <f t="shared" si="4"/>
        <v>4761.936000000001</v>
      </c>
      <c r="Q37" s="64"/>
      <c r="R37" s="90">
        <f t="shared" si="5"/>
        <v>0</v>
      </c>
      <c r="S37" s="64"/>
      <c r="T37" s="91">
        <f t="shared" si="6"/>
        <v>0</v>
      </c>
      <c r="U37" s="64">
        <v>0</v>
      </c>
      <c r="V37" s="90">
        <f t="shared" si="7"/>
        <v>0</v>
      </c>
      <c r="W37" s="96"/>
      <c r="X37" s="91">
        <f t="shared" si="8"/>
        <v>0</v>
      </c>
      <c r="Y37" s="110">
        <f t="shared" si="14"/>
        <v>17547.408000000003</v>
      </c>
      <c r="Z37" s="32">
        <v>-62660.65</v>
      </c>
      <c r="AA37" s="12">
        <f t="shared" si="9"/>
        <v>-1.4766817264959295</v>
      </c>
      <c r="AB37" s="25">
        <f t="shared" si="10"/>
        <v>-20227.234000000004</v>
      </c>
      <c r="AC37" s="44"/>
      <c r="AD37" s="8">
        <f t="shared" si="15"/>
        <v>-20227.234000000004</v>
      </c>
      <c r="AE37" s="167">
        <v>11631.552</v>
      </c>
      <c r="AF37" s="168">
        <v>0</v>
      </c>
      <c r="AG37" s="168">
        <v>969.2959999999999</v>
      </c>
      <c r="AH37" s="168">
        <v>0</v>
      </c>
      <c r="AI37" s="168">
        <v>11631.552</v>
      </c>
      <c r="AJ37" s="78" t="s">
        <v>296</v>
      </c>
      <c r="AK37" s="26" t="s">
        <v>352</v>
      </c>
      <c r="AL37" s="45">
        <v>0</v>
      </c>
      <c r="AM37" s="45">
        <v>972.01</v>
      </c>
      <c r="AN37" s="2">
        <v>0</v>
      </c>
      <c r="AO37" s="2">
        <v>972.01</v>
      </c>
      <c r="AP37" s="1">
        <v>0</v>
      </c>
      <c r="AQ37" s="1">
        <v>15289.39</v>
      </c>
      <c r="AR37" s="24">
        <v>0</v>
      </c>
      <c r="AS37" s="24">
        <v>2248.01</v>
      </c>
      <c r="AT37" s="1">
        <v>0</v>
      </c>
      <c r="AU37" s="1">
        <v>972.01</v>
      </c>
      <c r="AV37" s="24">
        <v>0</v>
      </c>
      <c r="AW37" s="24">
        <v>8741.97</v>
      </c>
      <c r="AX37" s="45">
        <v>0</v>
      </c>
      <c r="AY37" s="45">
        <v>2894.6</v>
      </c>
      <c r="AZ37" s="24">
        <v>0</v>
      </c>
      <c r="BA37" s="24">
        <v>972.01</v>
      </c>
      <c r="BB37" s="24">
        <v>0</v>
      </c>
      <c r="BC37" s="24">
        <v>1620.01</v>
      </c>
      <c r="BD37" s="24">
        <v>0</v>
      </c>
      <c r="BE37" s="24">
        <v>972.01</v>
      </c>
      <c r="BF37" s="24">
        <v>0</v>
      </c>
      <c r="BG37" s="24">
        <v>2480.01</v>
      </c>
      <c r="BH37" s="24">
        <v>0</v>
      </c>
      <c r="BI37" s="24">
        <v>5792.81</v>
      </c>
      <c r="BJ37" s="9">
        <f t="shared" si="16"/>
        <v>0</v>
      </c>
      <c r="BK37" s="9">
        <f t="shared" si="17"/>
        <v>43926.85</v>
      </c>
      <c r="BL37" s="153">
        <f t="shared" si="18"/>
        <v>43926.85</v>
      </c>
      <c r="BM37" s="154"/>
      <c r="BN37" s="154">
        <v>3437</v>
      </c>
      <c r="BO37" s="154"/>
      <c r="BP37" s="154"/>
      <c r="BQ37" s="154"/>
      <c r="BR37" s="155">
        <f t="shared" si="19"/>
        <v>47363.85</v>
      </c>
      <c r="BS37" s="154">
        <f>782.78+793.66</f>
        <v>1576.44</v>
      </c>
      <c r="BT37" s="199"/>
      <c r="BU37" s="20">
        <f t="shared" si="20"/>
        <v>-66014.644</v>
      </c>
      <c r="BV37" s="231">
        <v>249105.17</v>
      </c>
      <c r="BW37" s="229"/>
      <c r="BX37" s="230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</row>
    <row r="38" spans="1:76" ht="15.75" customHeight="1">
      <c r="A38" s="1">
        <v>31</v>
      </c>
      <c r="B38" s="1" t="s">
        <v>28</v>
      </c>
      <c r="C38" s="1">
        <v>622.4</v>
      </c>
      <c r="D38" s="1">
        <v>0</v>
      </c>
      <c r="E38" s="1">
        <f t="shared" si="22"/>
        <v>622.4</v>
      </c>
      <c r="F38" s="2">
        <v>9.71</v>
      </c>
      <c r="G38" s="2">
        <f t="shared" si="0"/>
        <v>6043.504</v>
      </c>
      <c r="H38" s="2">
        <f t="shared" si="11"/>
        <v>36261.024</v>
      </c>
      <c r="I38" s="2">
        <f t="shared" si="12"/>
        <v>9.71</v>
      </c>
      <c r="J38" s="2">
        <f t="shared" si="1"/>
        <v>6043.504</v>
      </c>
      <c r="K38" s="2">
        <f t="shared" si="13"/>
        <v>36261.024</v>
      </c>
      <c r="L38" s="97">
        <f t="shared" si="2"/>
        <v>72522.048</v>
      </c>
      <c r="M38" s="109">
        <v>3.92</v>
      </c>
      <c r="N38" s="89">
        <f t="shared" si="3"/>
        <v>29277.696</v>
      </c>
      <c r="O38" s="64">
        <v>1.46</v>
      </c>
      <c r="P38" s="90">
        <f t="shared" si="4"/>
        <v>10904.448</v>
      </c>
      <c r="Q38" s="64"/>
      <c r="R38" s="90">
        <f t="shared" si="5"/>
        <v>0</v>
      </c>
      <c r="S38" s="64"/>
      <c r="T38" s="91">
        <f t="shared" si="6"/>
        <v>0</v>
      </c>
      <c r="U38" s="64">
        <v>1.85</v>
      </c>
      <c r="V38" s="90">
        <f t="shared" si="7"/>
        <v>13817.28</v>
      </c>
      <c r="W38" s="96"/>
      <c r="X38" s="91">
        <f t="shared" si="8"/>
        <v>0</v>
      </c>
      <c r="Y38" s="110">
        <f t="shared" si="14"/>
        <v>53999.424</v>
      </c>
      <c r="Z38" s="32">
        <v>-24956.95</v>
      </c>
      <c r="AA38" s="12">
        <f t="shared" si="9"/>
        <v>-0.3441291398720566</v>
      </c>
      <c r="AB38" s="25">
        <f t="shared" si="10"/>
        <v>47565.098</v>
      </c>
      <c r="AC38" s="44"/>
      <c r="AD38" s="8">
        <f t="shared" si="15"/>
        <v>47565.098</v>
      </c>
      <c r="AE38" s="167">
        <v>25835.136</v>
      </c>
      <c r="AF38" s="168">
        <v>0</v>
      </c>
      <c r="AG38" s="168">
        <v>3963.7581666666665</v>
      </c>
      <c r="AH38" s="168">
        <v>0</v>
      </c>
      <c r="AI38" s="168">
        <v>47565.098</v>
      </c>
      <c r="AJ38" s="78" t="s">
        <v>299</v>
      </c>
      <c r="AK38" s="58"/>
      <c r="AL38" s="45">
        <v>0</v>
      </c>
      <c r="AM38" s="45">
        <v>1699.15</v>
      </c>
      <c r="AN38" s="2">
        <v>0</v>
      </c>
      <c r="AO38" s="2">
        <v>1699.15</v>
      </c>
      <c r="AP38" s="1">
        <v>0</v>
      </c>
      <c r="AQ38" s="1">
        <v>15535.39</v>
      </c>
      <c r="AR38" s="24">
        <v>0</v>
      </c>
      <c r="AS38" s="197">
        <v>61893.03</v>
      </c>
      <c r="AT38" s="1">
        <v>0</v>
      </c>
      <c r="AU38" s="1">
        <v>1699.15</v>
      </c>
      <c r="AV38" s="24">
        <v>0</v>
      </c>
      <c r="AW38" s="197">
        <v>59334.74</v>
      </c>
      <c r="AX38" s="45">
        <v>0</v>
      </c>
      <c r="AY38" s="45">
        <v>5616.48</v>
      </c>
      <c r="AZ38" s="24">
        <v>0</v>
      </c>
      <c r="BA38" s="197">
        <v>75491.17</v>
      </c>
      <c r="BB38" s="24">
        <v>0</v>
      </c>
      <c r="BC38" s="24">
        <v>6928.04</v>
      </c>
      <c r="BD38" s="24">
        <v>0</v>
      </c>
      <c r="BE38" s="24">
        <v>1699.15</v>
      </c>
      <c r="BF38" s="24">
        <v>0</v>
      </c>
      <c r="BG38" s="24">
        <v>3207.15</v>
      </c>
      <c r="BH38" s="24">
        <v>0</v>
      </c>
      <c r="BI38" s="24">
        <v>20993.48</v>
      </c>
      <c r="BJ38" s="9">
        <f t="shared" si="16"/>
        <v>0</v>
      </c>
      <c r="BK38" s="9">
        <f t="shared" si="17"/>
        <v>255796.08000000002</v>
      </c>
      <c r="BL38" s="153">
        <f t="shared" si="18"/>
        <v>255796.08000000002</v>
      </c>
      <c r="BM38" s="154"/>
      <c r="BN38" s="154"/>
      <c r="BO38" s="154"/>
      <c r="BP38" s="154"/>
      <c r="BQ38" s="154"/>
      <c r="BR38" s="155">
        <f t="shared" si="19"/>
        <v>255796.08000000002</v>
      </c>
      <c r="BS38" s="198">
        <v>1817.41</v>
      </c>
      <c r="BT38" s="199">
        <v>13836</v>
      </c>
      <c r="BU38" s="20">
        <f t="shared" si="20"/>
        <v>-206413.57200000001</v>
      </c>
      <c r="BV38" s="231">
        <v>6095.37</v>
      </c>
      <c r="BW38" s="229"/>
      <c r="BX38" s="230"/>
    </row>
    <row r="39" spans="1:111" s="17" customFormat="1" ht="15.75" customHeight="1">
      <c r="A39" s="1">
        <v>32</v>
      </c>
      <c r="B39" s="1" t="s">
        <v>29</v>
      </c>
      <c r="C39" s="1">
        <v>507.4</v>
      </c>
      <c r="D39" s="1">
        <v>0</v>
      </c>
      <c r="E39" s="1">
        <f t="shared" si="22"/>
        <v>507.4</v>
      </c>
      <c r="F39" s="2">
        <v>9.94</v>
      </c>
      <c r="G39" s="2">
        <f t="shared" si="0"/>
        <v>5043.556</v>
      </c>
      <c r="H39" s="2">
        <f t="shared" si="11"/>
        <v>30261.335999999996</v>
      </c>
      <c r="I39" s="2">
        <f t="shared" si="12"/>
        <v>9.94</v>
      </c>
      <c r="J39" s="2">
        <f t="shared" si="1"/>
        <v>5043.556</v>
      </c>
      <c r="K39" s="2">
        <f t="shared" si="13"/>
        <v>30261.335999999996</v>
      </c>
      <c r="L39" s="97">
        <f t="shared" si="2"/>
        <v>60522.67199999999</v>
      </c>
      <c r="M39" s="109">
        <v>3.92</v>
      </c>
      <c r="N39" s="89">
        <f t="shared" si="3"/>
        <v>23868.095999999998</v>
      </c>
      <c r="O39" s="64"/>
      <c r="P39" s="90">
        <f t="shared" si="4"/>
        <v>0</v>
      </c>
      <c r="Q39" s="64"/>
      <c r="R39" s="90">
        <f t="shared" si="5"/>
        <v>0</v>
      </c>
      <c r="S39" s="64"/>
      <c r="T39" s="91">
        <f t="shared" si="6"/>
        <v>0</v>
      </c>
      <c r="U39" s="64">
        <v>0</v>
      </c>
      <c r="V39" s="90">
        <f t="shared" si="7"/>
        <v>0</v>
      </c>
      <c r="W39" s="96">
        <v>5.76</v>
      </c>
      <c r="X39" s="91">
        <f t="shared" si="8"/>
        <v>35071.488</v>
      </c>
      <c r="Y39" s="110">
        <f t="shared" si="14"/>
        <v>58939.583999999995</v>
      </c>
      <c r="Z39" s="32">
        <v>-168865.75</v>
      </c>
      <c r="AA39" s="12">
        <f t="shared" si="9"/>
        <v>-2.7901238398727672</v>
      </c>
      <c r="AB39" s="25">
        <f t="shared" si="10"/>
        <v>-108343.07800000001</v>
      </c>
      <c r="AC39" s="44"/>
      <c r="AD39" s="8">
        <f t="shared" si="15"/>
        <v>-108343.07800000001</v>
      </c>
      <c r="AE39" s="167">
        <v>16561.536</v>
      </c>
      <c r="AF39" s="168">
        <v>0</v>
      </c>
      <c r="AG39" s="168">
        <v>1380.128</v>
      </c>
      <c r="AH39" s="168">
        <v>0</v>
      </c>
      <c r="AI39" s="168">
        <v>16561.536</v>
      </c>
      <c r="AJ39" s="78" t="s">
        <v>299</v>
      </c>
      <c r="AK39" s="26" t="s">
        <v>352</v>
      </c>
      <c r="AL39" s="45">
        <v>0</v>
      </c>
      <c r="AM39" s="45">
        <v>1385.2</v>
      </c>
      <c r="AN39" s="2">
        <v>0</v>
      </c>
      <c r="AO39" s="2">
        <v>1385.2</v>
      </c>
      <c r="AP39" s="1">
        <v>0</v>
      </c>
      <c r="AQ39" s="1">
        <v>1385.2</v>
      </c>
      <c r="AR39" s="24">
        <v>0</v>
      </c>
      <c r="AS39" s="24">
        <v>2083.7</v>
      </c>
      <c r="AT39" s="1">
        <v>0</v>
      </c>
      <c r="AU39" s="1">
        <v>1385.2</v>
      </c>
      <c r="AV39" s="24">
        <v>0</v>
      </c>
      <c r="AW39" s="24">
        <v>1385.2</v>
      </c>
      <c r="AX39" s="45">
        <v>0</v>
      </c>
      <c r="AY39" s="45">
        <v>1385.2</v>
      </c>
      <c r="AZ39" s="24">
        <v>0</v>
      </c>
      <c r="BA39" s="24">
        <v>1385.2</v>
      </c>
      <c r="BB39" s="24">
        <v>0</v>
      </c>
      <c r="BC39" s="24">
        <v>1385.2</v>
      </c>
      <c r="BD39" s="24">
        <v>0</v>
      </c>
      <c r="BE39" s="24">
        <v>1385.2</v>
      </c>
      <c r="BF39" s="24">
        <v>0</v>
      </c>
      <c r="BG39" s="24">
        <v>2211.2</v>
      </c>
      <c r="BH39" s="24">
        <v>0</v>
      </c>
      <c r="BI39" s="24">
        <v>1385.2</v>
      </c>
      <c r="BJ39" s="9">
        <f t="shared" si="16"/>
        <v>0</v>
      </c>
      <c r="BK39" s="9">
        <f t="shared" si="17"/>
        <v>18146.900000000005</v>
      </c>
      <c r="BL39" s="153">
        <f t="shared" si="18"/>
        <v>18146.900000000005</v>
      </c>
      <c r="BM39" s="154"/>
      <c r="BN39" s="154"/>
      <c r="BO39" s="154"/>
      <c r="BP39" s="154"/>
      <c r="BQ39" s="154"/>
      <c r="BR39" s="155">
        <f t="shared" si="19"/>
        <v>18146.900000000005</v>
      </c>
      <c r="BS39" s="198"/>
      <c r="BT39" s="199"/>
      <c r="BU39" s="20">
        <f t="shared" si="20"/>
        <v>-126489.97800000002</v>
      </c>
      <c r="BV39" s="231">
        <v>537588.92</v>
      </c>
      <c r="BW39" s="229"/>
      <c r="BX39" s="230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</row>
    <row r="40" spans="1:76" ht="15.75">
      <c r="A40" s="1">
        <v>33</v>
      </c>
      <c r="B40" s="1" t="s">
        <v>30</v>
      </c>
      <c r="C40" s="1">
        <v>885.2</v>
      </c>
      <c r="D40" s="1">
        <v>79.2</v>
      </c>
      <c r="E40" s="1">
        <f t="shared" si="22"/>
        <v>964.4000000000001</v>
      </c>
      <c r="F40" s="2">
        <v>15.69</v>
      </c>
      <c r="G40" s="2">
        <f t="shared" si="0"/>
        <v>15131.436000000002</v>
      </c>
      <c r="H40" s="2">
        <f t="shared" si="11"/>
        <v>90788.61600000001</v>
      </c>
      <c r="I40" s="2">
        <f t="shared" si="12"/>
        <v>15.69</v>
      </c>
      <c r="J40" s="2">
        <f t="shared" si="1"/>
        <v>15131.436000000002</v>
      </c>
      <c r="K40" s="2">
        <f t="shared" si="13"/>
        <v>90788.61600000001</v>
      </c>
      <c r="L40" s="97">
        <f t="shared" si="2"/>
        <v>181577.23200000002</v>
      </c>
      <c r="M40" s="109">
        <v>3.92</v>
      </c>
      <c r="N40" s="89">
        <f t="shared" si="3"/>
        <v>45365.376000000004</v>
      </c>
      <c r="O40" s="64">
        <v>1.46</v>
      </c>
      <c r="P40" s="90">
        <f t="shared" si="4"/>
        <v>16896.288</v>
      </c>
      <c r="Q40" s="64">
        <v>0.52</v>
      </c>
      <c r="R40" s="90">
        <f t="shared" si="5"/>
        <v>6017.856000000001</v>
      </c>
      <c r="S40" s="64">
        <v>0.89</v>
      </c>
      <c r="T40" s="91">
        <f t="shared" si="6"/>
        <v>10299.792000000001</v>
      </c>
      <c r="U40" s="64">
        <v>0.71</v>
      </c>
      <c r="V40" s="90">
        <f t="shared" si="7"/>
        <v>8216.688</v>
      </c>
      <c r="W40" s="96"/>
      <c r="X40" s="91">
        <f t="shared" si="8"/>
        <v>0</v>
      </c>
      <c r="Y40" s="110">
        <f t="shared" si="14"/>
        <v>86796</v>
      </c>
      <c r="Z40" s="32"/>
      <c r="AA40" s="12">
        <f t="shared" si="9"/>
        <v>0</v>
      </c>
      <c r="AB40" s="25">
        <f t="shared" si="10"/>
        <v>181577.23200000002</v>
      </c>
      <c r="AC40" s="44"/>
      <c r="AD40" s="8">
        <f t="shared" si="15"/>
        <v>181577.23200000002</v>
      </c>
      <c r="AE40" s="167">
        <v>65021.664</v>
      </c>
      <c r="AF40" s="168">
        <v>0</v>
      </c>
      <c r="AG40" s="168">
        <v>15131.436000000002</v>
      </c>
      <c r="AH40" s="168">
        <v>0</v>
      </c>
      <c r="AI40" s="168">
        <v>181577.23200000002</v>
      </c>
      <c r="AJ40" s="26"/>
      <c r="AK40" s="26"/>
      <c r="AL40" s="45">
        <v>0</v>
      </c>
      <c r="AM40" s="45">
        <v>4743.39</v>
      </c>
      <c r="AN40" s="2">
        <v>0</v>
      </c>
      <c r="AO40" s="2">
        <v>6811.71</v>
      </c>
      <c r="AP40" s="1">
        <v>0</v>
      </c>
      <c r="AQ40" s="1">
        <v>7494.83</v>
      </c>
      <c r="AR40" s="24">
        <v>0</v>
      </c>
      <c r="AS40" s="24">
        <v>89592.01</v>
      </c>
      <c r="AT40" s="1">
        <v>0</v>
      </c>
      <c r="AU40" s="1">
        <v>6865.07</v>
      </c>
      <c r="AV40" s="24">
        <v>0</v>
      </c>
      <c r="AW40" s="197">
        <v>23032.33</v>
      </c>
      <c r="AX40" s="45">
        <v>0</v>
      </c>
      <c r="AY40" s="45">
        <v>11414.57</v>
      </c>
      <c r="AZ40" s="24">
        <v>0</v>
      </c>
      <c r="BA40" s="24">
        <v>6865.07</v>
      </c>
      <c r="BB40" s="24">
        <v>0</v>
      </c>
      <c r="BC40" s="24">
        <v>10485.46</v>
      </c>
      <c r="BD40" s="24">
        <v>0</v>
      </c>
      <c r="BE40" s="24">
        <v>15593.12</v>
      </c>
      <c r="BF40" s="24">
        <v>0</v>
      </c>
      <c r="BG40" s="24">
        <v>7495.94</v>
      </c>
      <c r="BH40" s="24">
        <v>0</v>
      </c>
      <c r="BI40" s="24">
        <v>11271.25</v>
      </c>
      <c r="BJ40" s="9">
        <f t="shared" si="16"/>
        <v>0</v>
      </c>
      <c r="BK40" s="9">
        <f t="shared" si="17"/>
        <v>201664.75000000003</v>
      </c>
      <c r="BL40" s="153">
        <f t="shared" si="18"/>
        <v>201664.75000000003</v>
      </c>
      <c r="BM40" s="154"/>
      <c r="BN40" s="154"/>
      <c r="BO40" s="154">
        <v>750.29</v>
      </c>
      <c r="BP40" s="154"/>
      <c r="BQ40" s="154"/>
      <c r="BR40" s="155">
        <f t="shared" si="19"/>
        <v>202415.04000000004</v>
      </c>
      <c r="BS40" s="198">
        <v>1408.02</v>
      </c>
      <c r="BT40" s="199">
        <v>4128</v>
      </c>
      <c r="BU40" s="20">
        <f t="shared" si="20"/>
        <v>-19429.78800000002</v>
      </c>
      <c r="BV40" s="231">
        <v>54078.49</v>
      </c>
      <c r="BW40" s="229"/>
      <c r="BX40" s="230"/>
    </row>
    <row r="41" spans="1:76" ht="15.75">
      <c r="A41" s="1">
        <v>34</v>
      </c>
      <c r="B41" s="1" t="s">
        <v>31</v>
      </c>
      <c r="C41" s="1">
        <v>556.9</v>
      </c>
      <c r="D41" s="1">
        <v>0</v>
      </c>
      <c r="E41" s="1">
        <f t="shared" si="22"/>
        <v>556.9</v>
      </c>
      <c r="F41" s="2">
        <v>15.92</v>
      </c>
      <c r="G41" s="2">
        <f t="shared" si="0"/>
        <v>8865.848</v>
      </c>
      <c r="H41" s="2">
        <f t="shared" si="11"/>
        <v>53195.088</v>
      </c>
      <c r="I41" s="2">
        <f t="shared" si="12"/>
        <v>15.92</v>
      </c>
      <c r="J41" s="2">
        <f t="shared" si="1"/>
        <v>8865.848</v>
      </c>
      <c r="K41" s="2">
        <f t="shared" si="13"/>
        <v>53195.088</v>
      </c>
      <c r="L41" s="97">
        <f t="shared" si="2"/>
        <v>106390.176</v>
      </c>
      <c r="M41" s="109">
        <v>3.92</v>
      </c>
      <c r="N41" s="89">
        <f t="shared" si="3"/>
        <v>26196.575999999997</v>
      </c>
      <c r="O41" s="64"/>
      <c r="P41" s="90">
        <f t="shared" si="4"/>
        <v>0</v>
      </c>
      <c r="Q41" s="64"/>
      <c r="R41" s="90">
        <f t="shared" si="5"/>
        <v>0</v>
      </c>
      <c r="S41" s="64"/>
      <c r="T41" s="91">
        <f t="shared" si="6"/>
        <v>0</v>
      </c>
      <c r="U41" s="64">
        <v>1.24</v>
      </c>
      <c r="V41" s="90">
        <f t="shared" si="7"/>
        <v>8286.671999999999</v>
      </c>
      <c r="W41" s="96"/>
      <c r="X41" s="91">
        <f t="shared" si="8"/>
        <v>0</v>
      </c>
      <c r="Y41" s="110">
        <f t="shared" si="14"/>
        <v>34483.24799999999</v>
      </c>
      <c r="Z41" s="32"/>
      <c r="AA41" s="12">
        <f t="shared" si="9"/>
        <v>0</v>
      </c>
      <c r="AB41" s="25">
        <f t="shared" si="10"/>
        <v>106390.176</v>
      </c>
      <c r="AC41" s="44"/>
      <c r="AD41" s="8">
        <f t="shared" si="15"/>
        <v>106390.176</v>
      </c>
      <c r="AE41" s="167">
        <v>38713.46400000001</v>
      </c>
      <c r="AF41" s="168">
        <v>0</v>
      </c>
      <c r="AG41" s="168">
        <v>8865.848</v>
      </c>
      <c r="AH41" s="168">
        <v>0</v>
      </c>
      <c r="AI41" s="168">
        <v>106390.176</v>
      </c>
      <c r="AJ41" s="26"/>
      <c r="AK41" s="26"/>
      <c r="AL41" s="45">
        <v>0</v>
      </c>
      <c r="AM41" s="45">
        <v>2752.76</v>
      </c>
      <c r="AN41" s="2">
        <v>0</v>
      </c>
      <c r="AO41" s="2">
        <v>2752.76</v>
      </c>
      <c r="AP41" s="1">
        <v>0</v>
      </c>
      <c r="AQ41" s="1">
        <v>4504.2</v>
      </c>
      <c r="AR41" s="24">
        <v>0</v>
      </c>
      <c r="AS41" s="24">
        <v>7379.13</v>
      </c>
      <c r="AT41" s="1">
        <v>0</v>
      </c>
      <c r="AU41" s="1">
        <v>3615.95</v>
      </c>
      <c r="AV41" s="24">
        <v>0</v>
      </c>
      <c r="AW41" s="24">
        <v>14195.95</v>
      </c>
      <c r="AX41" s="45">
        <v>0</v>
      </c>
      <c r="AY41" s="45">
        <v>4695.95</v>
      </c>
      <c r="AZ41" s="24">
        <v>0</v>
      </c>
      <c r="BA41" s="24">
        <v>3615.95</v>
      </c>
      <c r="BB41" s="24">
        <v>0</v>
      </c>
      <c r="BC41" s="24">
        <v>5609.45</v>
      </c>
      <c r="BD41" s="24">
        <v>0</v>
      </c>
      <c r="BE41" s="24">
        <v>20739.71</v>
      </c>
      <c r="BF41" s="24">
        <v>0</v>
      </c>
      <c r="BG41" s="24">
        <v>4429.31</v>
      </c>
      <c r="BH41" s="24">
        <v>0</v>
      </c>
      <c r="BI41" s="24">
        <v>5032.76</v>
      </c>
      <c r="BJ41" s="9">
        <f t="shared" si="16"/>
        <v>0</v>
      </c>
      <c r="BK41" s="9">
        <f t="shared" si="17"/>
        <v>79323.87999999999</v>
      </c>
      <c r="BL41" s="153">
        <f t="shared" si="18"/>
        <v>79323.87999999999</v>
      </c>
      <c r="BM41" s="154"/>
      <c r="BN41" s="154"/>
      <c r="BO41" s="154"/>
      <c r="BP41" s="154"/>
      <c r="BQ41" s="154"/>
      <c r="BR41" s="155">
        <f t="shared" si="19"/>
        <v>79323.87999999999</v>
      </c>
      <c r="BS41" s="198"/>
      <c r="BT41" s="199">
        <v>8256</v>
      </c>
      <c r="BU41" s="20">
        <f t="shared" si="20"/>
        <v>27066.296000000017</v>
      </c>
      <c r="BV41" s="231">
        <v>29331.17</v>
      </c>
      <c r="BW41" s="229"/>
      <c r="BX41" s="230"/>
    </row>
    <row r="42" spans="1:76" ht="15.75">
      <c r="A42" s="1">
        <v>35</v>
      </c>
      <c r="B42" s="1" t="s">
        <v>32</v>
      </c>
      <c r="C42" s="1">
        <v>575.8</v>
      </c>
      <c r="D42" s="1">
        <v>71.7</v>
      </c>
      <c r="E42" s="1">
        <f aca="true" t="shared" si="23" ref="E42:E80">C42+D42</f>
        <v>647.5</v>
      </c>
      <c r="F42" s="2">
        <v>9.71</v>
      </c>
      <c r="G42" s="2">
        <f t="shared" si="0"/>
        <v>6287.225</v>
      </c>
      <c r="H42" s="2">
        <f t="shared" si="11"/>
        <v>37723.350000000006</v>
      </c>
      <c r="I42" s="2">
        <f t="shared" si="12"/>
        <v>9.71</v>
      </c>
      <c r="J42" s="2">
        <f t="shared" si="1"/>
        <v>6287.225</v>
      </c>
      <c r="K42" s="2">
        <f t="shared" si="13"/>
        <v>37723.350000000006</v>
      </c>
      <c r="L42" s="97">
        <f t="shared" si="2"/>
        <v>75446.70000000001</v>
      </c>
      <c r="M42" s="109">
        <v>3.92</v>
      </c>
      <c r="N42" s="89">
        <f t="shared" si="3"/>
        <v>30458.399999999998</v>
      </c>
      <c r="O42" s="64">
        <v>1.46</v>
      </c>
      <c r="P42" s="90">
        <f t="shared" si="4"/>
        <v>11344.2</v>
      </c>
      <c r="Q42" s="64"/>
      <c r="R42" s="90">
        <f t="shared" si="5"/>
        <v>0</v>
      </c>
      <c r="S42" s="64"/>
      <c r="T42" s="91">
        <f t="shared" si="6"/>
        <v>0</v>
      </c>
      <c r="U42" s="64">
        <v>1.77</v>
      </c>
      <c r="V42" s="90">
        <f t="shared" si="7"/>
        <v>13752.900000000001</v>
      </c>
      <c r="W42" s="96"/>
      <c r="X42" s="91">
        <f t="shared" si="8"/>
        <v>0</v>
      </c>
      <c r="Y42" s="110">
        <f t="shared" si="14"/>
        <v>55555.5</v>
      </c>
      <c r="Z42" s="32"/>
      <c r="AA42" s="12">
        <f t="shared" si="9"/>
        <v>0</v>
      </c>
      <c r="AB42" s="25">
        <f t="shared" si="10"/>
        <v>75446.70000000001</v>
      </c>
      <c r="AC42" s="44"/>
      <c r="AD42" s="8">
        <f t="shared" si="15"/>
        <v>75446.70000000001</v>
      </c>
      <c r="AE42" s="167">
        <v>23894.4</v>
      </c>
      <c r="AF42" s="168">
        <v>0</v>
      </c>
      <c r="AG42" s="168">
        <v>6287.225000000001</v>
      </c>
      <c r="AH42" s="168">
        <v>0</v>
      </c>
      <c r="AI42" s="168">
        <v>75446.70000000001</v>
      </c>
      <c r="AJ42" s="59" t="s">
        <v>299</v>
      </c>
      <c r="AK42" s="59"/>
      <c r="AL42" s="45">
        <v>0</v>
      </c>
      <c r="AM42" s="45">
        <v>1997.68</v>
      </c>
      <c r="AN42" s="2">
        <v>0</v>
      </c>
      <c r="AO42" s="2">
        <v>3330.87</v>
      </c>
      <c r="AP42" s="1">
        <v>0</v>
      </c>
      <c r="AQ42" s="1">
        <v>5703.41</v>
      </c>
      <c r="AR42" s="24">
        <v>0</v>
      </c>
      <c r="AS42" s="24">
        <v>3991.04</v>
      </c>
      <c r="AT42" s="1">
        <v>0</v>
      </c>
      <c r="AU42" s="1">
        <v>1997.68</v>
      </c>
      <c r="AV42" s="24">
        <v>0</v>
      </c>
      <c r="AW42" s="24">
        <v>1997.68</v>
      </c>
      <c r="AX42" s="45">
        <v>0</v>
      </c>
      <c r="AY42" s="45">
        <v>1997.68</v>
      </c>
      <c r="AZ42" s="24">
        <v>0</v>
      </c>
      <c r="BA42" s="24">
        <v>3497.68</v>
      </c>
      <c r="BB42" s="24">
        <v>0</v>
      </c>
      <c r="BC42" s="24">
        <v>6133.98</v>
      </c>
      <c r="BD42" s="24">
        <v>0</v>
      </c>
      <c r="BE42" s="24">
        <v>5017.08</v>
      </c>
      <c r="BF42" s="24">
        <v>0</v>
      </c>
      <c r="BG42" s="24">
        <v>6525.08</v>
      </c>
      <c r="BH42" s="24">
        <v>0</v>
      </c>
      <c r="BI42" s="24">
        <v>1997.68</v>
      </c>
      <c r="BJ42" s="9">
        <f t="shared" si="16"/>
        <v>0</v>
      </c>
      <c r="BK42" s="9">
        <f t="shared" si="17"/>
        <v>44187.54</v>
      </c>
      <c r="BL42" s="153">
        <f t="shared" si="18"/>
        <v>44187.54</v>
      </c>
      <c r="BM42" s="154"/>
      <c r="BN42" s="154"/>
      <c r="BO42" s="154"/>
      <c r="BP42" s="154"/>
      <c r="BQ42" s="154"/>
      <c r="BR42" s="155">
        <f t="shared" si="19"/>
        <v>44187.54</v>
      </c>
      <c r="BS42" s="198">
        <v>472.68</v>
      </c>
      <c r="BT42" s="199">
        <v>13836</v>
      </c>
      <c r="BU42" s="20">
        <f t="shared" si="20"/>
        <v>31731.84000000001</v>
      </c>
      <c r="BV42" s="231">
        <v>9732.65</v>
      </c>
      <c r="BW42" s="229"/>
      <c r="BX42" s="230"/>
    </row>
    <row r="43" spans="1:76" ht="15.75">
      <c r="A43" s="1">
        <v>36</v>
      </c>
      <c r="B43" s="1" t="s">
        <v>33</v>
      </c>
      <c r="C43" s="1">
        <v>1529</v>
      </c>
      <c r="D43" s="1">
        <v>84.5</v>
      </c>
      <c r="E43" s="1">
        <f t="shared" si="23"/>
        <v>1613.5</v>
      </c>
      <c r="F43" s="2">
        <v>14.8</v>
      </c>
      <c r="G43" s="2">
        <f t="shared" si="0"/>
        <v>23879.800000000003</v>
      </c>
      <c r="H43" s="2">
        <f t="shared" si="11"/>
        <v>143278.80000000002</v>
      </c>
      <c r="I43" s="2">
        <f t="shared" si="12"/>
        <v>14.8</v>
      </c>
      <c r="J43" s="2">
        <f t="shared" si="1"/>
        <v>23879.800000000003</v>
      </c>
      <c r="K43" s="2">
        <f t="shared" si="13"/>
        <v>143278.80000000002</v>
      </c>
      <c r="L43" s="97">
        <f t="shared" si="2"/>
        <v>286557.60000000003</v>
      </c>
      <c r="M43" s="109">
        <v>3.92</v>
      </c>
      <c r="N43" s="89">
        <f t="shared" si="3"/>
        <v>75899.04000000001</v>
      </c>
      <c r="O43" s="64">
        <v>1.46</v>
      </c>
      <c r="P43" s="90">
        <f t="shared" si="4"/>
        <v>28268.52</v>
      </c>
      <c r="Q43" s="64"/>
      <c r="R43" s="90">
        <f t="shared" si="5"/>
        <v>0</v>
      </c>
      <c r="S43" s="64"/>
      <c r="T43" s="91">
        <f t="shared" si="6"/>
        <v>0</v>
      </c>
      <c r="U43" s="64">
        <v>0</v>
      </c>
      <c r="V43" s="90">
        <f t="shared" si="7"/>
        <v>0</v>
      </c>
      <c r="W43" s="96"/>
      <c r="X43" s="91">
        <f t="shared" si="8"/>
        <v>0</v>
      </c>
      <c r="Y43" s="110">
        <f t="shared" si="14"/>
        <v>104167.56000000001</v>
      </c>
      <c r="Z43" s="32"/>
      <c r="AA43" s="12">
        <f t="shared" si="9"/>
        <v>0</v>
      </c>
      <c r="AB43" s="25">
        <f t="shared" si="10"/>
        <v>286557.60000000003</v>
      </c>
      <c r="AC43" s="44"/>
      <c r="AD43" s="8">
        <f t="shared" si="15"/>
        <v>286557.60000000003</v>
      </c>
      <c r="AE43" s="167">
        <v>55424.64</v>
      </c>
      <c r="AF43" s="168">
        <v>0</v>
      </c>
      <c r="AG43" s="168">
        <v>23879.800000000003</v>
      </c>
      <c r="AH43" s="168">
        <v>0</v>
      </c>
      <c r="AI43" s="168">
        <v>286557.60000000003</v>
      </c>
      <c r="AJ43" s="59"/>
      <c r="AK43" s="59"/>
      <c r="AL43" s="45">
        <v>0</v>
      </c>
      <c r="AM43" s="45">
        <v>8585.41</v>
      </c>
      <c r="AN43" s="2">
        <v>0</v>
      </c>
      <c r="AO43" s="2">
        <v>32330.35</v>
      </c>
      <c r="AP43" s="1">
        <v>0</v>
      </c>
      <c r="AQ43" s="1">
        <v>22052.24</v>
      </c>
      <c r="AR43" s="24">
        <v>0</v>
      </c>
      <c r="AS43" s="24">
        <v>29384.21</v>
      </c>
      <c r="AT43" s="1">
        <v>0</v>
      </c>
      <c r="AU43" s="1">
        <v>4634.86</v>
      </c>
      <c r="AV43" s="24">
        <v>0</v>
      </c>
      <c r="AW43" s="24">
        <v>8616.04</v>
      </c>
      <c r="AX43" s="45">
        <v>0</v>
      </c>
      <c r="AY43" s="45">
        <v>22641</v>
      </c>
      <c r="AZ43" s="24">
        <v>0</v>
      </c>
      <c r="BA43" s="24">
        <v>13412.13</v>
      </c>
      <c r="BB43" s="24">
        <v>0</v>
      </c>
      <c r="BC43" s="24">
        <v>19416.58</v>
      </c>
      <c r="BD43" s="24">
        <v>0</v>
      </c>
      <c r="BE43" s="24">
        <v>11507.17</v>
      </c>
      <c r="BF43" s="24">
        <v>0</v>
      </c>
      <c r="BG43" s="24">
        <v>22757.55</v>
      </c>
      <c r="BH43" s="24">
        <v>0</v>
      </c>
      <c r="BI43" s="24">
        <v>5382.19</v>
      </c>
      <c r="BJ43" s="9">
        <f t="shared" si="16"/>
        <v>0</v>
      </c>
      <c r="BK43" s="9">
        <f t="shared" si="17"/>
        <v>200719.73</v>
      </c>
      <c r="BL43" s="153">
        <f t="shared" si="18"/>
        <v>200719.73</v>
      </c>
      <c r="BM43" s="154"/>
      <c r="BN43" s="154"/>
      <c r="BO43" s="154"/>
      <c r="BP43" s="154"/>
      <c r="BQ43" s="154"/>
      <c r="BR43" s="155">
        <f t="shared" si="19"/>
        <v>200719.73</v>
      </c>
      <c r="BS43" s="198">
        <v>1178.66</v>
      </c>
      <c r="BT43" s="199"/>
      <c r="BU43" s="20">
        <f t="shared" si="20"/>
        <v>87016.53000000003</v>
      </c>
      <c r="BV43" s="231">
        <v>377975.4</v>
      </c>
      <c r="BW43" s="229"/>
      <c r="BX43" s="230"/>
    </row>
    <row r="44" spans="1:111" s="17" customFormat="1" ht="15.75">
      <c r="A44" s="1">
        <v>37</v>
      </c>
      <c r="B44" s="1" t="s">
        <v>34</v>
      </c>
      <c r="C44" s="1">
        <v>614.1</v>
      </c>
      <c r="D44" s="1">
        <v>45.2</v>
      </c>
      <c r="E44" s="1">
        <f t="shared" si="23"/>
        <v>659.3000000000001</v>
      </c>
      <c r="F44" s="2">
        <v>9.71</v>
      </c>
      <c r="G44" s="2">
        <f t="shared" si="0"/>
        <v>6401.803000000001</v>
      </c>
      <c r="H44" s="2">
        <f t="shared" si="11"/>
        <v>38410.81800000001</v>
      </c>
      <c r="I44" s="2">
        <f t="shared" si="12"/>
        <v>9.71</v>
      </c>
      <c r="J44" s="2">
        <f t="shared" si="1"/>
        <v>6401.803000000001</v>
      </c>
      <c r="K44" s="2">
        <f t="shared" si="13"/>
        <v>38410.81800000001</v>
      </c>
      <c r="L44" s="97">
        <f t="shared" si="2"/>
        <v>76821.63600000001</v>
      </c>
      <c r="M44" s="109">
        <v>3.92</v>
      </c>
      <c r="N44" s="89">
        <f t="shared" si="3"/>
        <v>31013.472</v>
      </c>
      <c r="O44" s="64">
        <v>1.46</v>
      </c>
      <c r="P44" s="90">
        <f t="shared" si="4"/>
        <v>11550.936000000002</v>
      </c>
      <c r="Q44" s="64"/>
      <c r="R44" s="90">
        <f t="shared" si="5"/>
        <v>0</v>
      </c>
      <c r="S44" s="64"/>
      <c r="T44" s="91">
        <f t="shared" si="6"/>
        <v>0</v>
      </c>
      <c r="U44" s="64">
        <v>1.75</v>
      </c>
      <c r="V44" s="90">
        <f t="shared" si="7"/>
        <v>13845.300000000001</v>
      </c>
      <c r="W44" s="96"/>
      <c r="X44" s="91">
        <f t="shared" si="8"/>
        <v>0</v>
      </c>
      <c r="Y44" s="110">
        <f t="shared" si="14"/>
        <v>56409.708000000006</v>
      </c>
      <c r="Z44" s="32">
        <v>-171132.09</v>
      </c>
      <c r="AA44" s="12">
        <f t="shared" si="9"/>
        <v>-2.2276548497353006</v>
      </c>
      <c r="AB44" s="25">
        <f t="shared" si="10"/>
        <v>-94310.45399999998</v>
      </c>
      <c r="AC44" s="44"/>
      <c r="AD44" s="8">
        <f t="shared" si="15"/>
        <v>-94310.45399999998</v>
      </c>
      <c r="AE44" s="167">
        <v>24279.552</v>
      </c>
      <c r="AF44" s="168">
        <v>0</v>
      </c>
      <c r="AG44" s="168">
        <v>2023.296</v>
      </c>
      <c r="AH44" s="168">
        <v>0</v>
      </c>
      <c r="AI44" s="168">
        <v>24279.552</v>
      </c>
      <c r="AJ44" s="59" t="s">
        <v>299</v>
      </c>
      <c r="AK44" s="26" t="s">
        <v>352</v>
      </c>
      <c r="AL44" s="45">
        <v>0</v>
      </c>
      <c r="AM44" s="45">
        <v>182523.26</v>
      </c>
      <c r="AN44" s="2">
        <v>0</v>
      </c>
      <c r="AO44" s="2">
        <v>14573.91</v>
      </c>
      <c r="AP44" s="1">
        <v>0</v>
      </c>
      <c r="AQ44" s="1">
        <v>2061.9</v>
      </c>
      <c r="AR44" s="24">
        <v>0</v>
      </c>
      <c r="AS44" s="24">
        <v>3200.4</v>
      </c>
      <c r="AT44" s="1">
        <v>0</v>
      </c>
      <c r="AU44" s="1">
        <v>11110.75</v>
      </c>
      <c r="AV44" s="24">
        <v>0</v>
      </c>
      <c r="AW44" s="24">
        <v>1924.4</v>
      </c>
      <c r="AX44" s="45">
        <v>0</v>
      </c>
      <c r="AY44" s="45">
        <v>4881.22</v>
      </c>
      <c r="AZ44" s="24">
        <v>0</v>
      </c>
      <c r="BA44" s="24">
        <v>74123.88</v>
      </c>
      <c r="BB44" s="24">
        <v>0</v>
      </c>
      <c r="BC44" s="24">
        <v>4943.8</v>
      </c>
      <c r="BD44" s="24">
        <v>0</v>
      </c>
      <c r="BE44" s="24">
        <v>4943.8</v>
      </c>
      <c r="BF44" s="24">
        <v>0</v>
      </c>
      <c r="BG44" s="24">
        <v>6451.8</v>
      </c>
      <c r="BH44" s="24">
        <v>0</v>
      </c>
      <c r="BI44" s="24">
        <v>1924.4</v>
      </c>
      <c r="BJ44" s="9">
        <f t="shared" si="16"/>
        <v>0</v>
      </c>
      <c r="BK44" s="9">
        <f t="shared" si="17"/>
        <v>312663.51999999996</v>
      </c>
      <c r="BL44" s="153">
        <f t="shared" si="18"/>
        <v>312663.51999999996</v>
      </c>
      <c r="BM44" s="154"/>
      <c r="BN44" s="154"/>
      <c r="BO44" s="154"/>
      <c r="BP44" s="154"/>
      <c r="BQ44" s="154"/>
      <c r="BR44" s="155">
        <f t="shared" si="19"/>
        <v>312663.51999999996</v>
      </c>
      <c r="BS44" s="198">
        <v>481.29</v>
      </c>
      <c r="BT44" s="199">
        <v>13836</v>
      </c>
      <c r="BU44" s="20">
        <f t="shared" si="20"/>
        <v>-406492.68399999995</v>
      </c>
      <c r="BV44" s="231">
        <v>69904.05</v>
      </c>
      <c r="BW44" s="229"/>
      <c r="BX44" s="230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</row>
    <row r="45" spans="1:76" ht="15.75" customHeight="1">
      <c r="A45" s="1">
        <v>38</v>
      </c>
      <c r="B45" s="1" t="s">
        <v>35</v>
      </c>
      <c r="C45" s="1">
        <v>1639.6</v>
      </c>
      <c r="D45" s="1">
        <v>149.1</v>
      </c>
      <c r="E45" s="1">
        <f t="shared" si="23"/>
        <v>1788.6999999999998</v>
      </c>
      <c r="F45" s="2">
        <v>14.7</v>
      </c>
      <c r="G45" s="2">
        <f t="shared" si="0"/>
        <v>26293.889999999996</v>
      </c>
      <c r="H45" s="2">
        <f t="shared" si="11"/>
        <v>157763.33999999997</v>
      </c>
      <c r="I45" s="2">
        <f t="shared" si="12"/>
        <v>14.7</v>
      </c>
      <c r="J45" s="2">
        <f t="shared" si="1"/>
        <v>26293.889999999996</v>
      </c>
      <c r="K45" s="2">
        <f t="shared" si="13"/>
        <v>157763.33999999997</v>
      </c>
      <c r="L45" s="97">
        <f t="shared" si="2"/>
        <v>315526.67999999993</v>
      </c>
      <c r="M45" s="109">
        <v>3.92</v>
      </c>
      <c r="N45" s="89">
        <f t="shared" si="3"/>
        <v>84140.44799999999</v>
      </c>
      <c r="O45" s="64">
        <v>1.46</v>
      </c>
      <c r="P45" s="90">
        <f t="shared" si="4"/>
        <v>31338.023999999994</v>
      </c>
      <c r="Q45" s="64"/>
      <c r="R45" s="90">
        <f t="shared" si="5"/>
        <v>0</v>
      </c>
      <c r="S45" s="64"/>
      <c r="T45" s="91">
        <f t="shared" si="6"/>
        <v>0</v>
      </c>
      <c r="U45" s="64">
        <v>0.83</v>
      </c>
      <c r="V45" s="90">
        <f t="shared" si="7"/>
        <v>17815.451999999997</v>
      </c>
      <c r="W45" s="96"/>
      <c r="X45" s="91">
        <f t="shared" si="8"/>
        <v>0</v>
      </c>
      <c r="Y45" s="110">
        <f t="shared" si="14"/>
        <v>133293.92399999997</v>
      </c>
      <c r="Z45" s="32">
        <v>-8816.17</v>
      </c>
      <c r="AA45" s="12">
        <f t="shared" si="9"/>
        <v>-0.02794112371099649</v>
      </c>
      <c r="AB45" s="25">
        <f t="shared" si="10"/>
        <v>306710.50999999995</v>
      </c>
      <c r="AC45" s="166"/>
      <c r="AD45" s="8">
        <f t="shared" si="15"/>
        <v>306710.50999999995</v>
      </c>
      <c r="AE45" s="167">
        <v>118238.47200000001</v>
      </c>
      <c r="AF45" s="168">
        <v>0</v>
      </c>
      <c r="AG45" s="168">
        <v>19725.875833333328</v>
      </c>
      <c r="AH45" s="168">
        <v>0</v>
      </c>
      <c r="AI45" s="168">
        <v>236710.50999999995</v>
      </c>
      <c r="AJ45" s="59"/>
      <c r="AK45" s="58"/>
      <c r="AL45" s="45">
        <v>0</v>
      </c>
      <c r="AM45" s="45">
        <v>10468.25</v>
      </c>
      <c r="AN45" s="2">
        <v>0</v>
      </c>
      <c r="AO45" s="2">
        <v>41234.49</v>
      </c>
      <c r="AP45" s="1">
        <v>0</v>
      </c>
      <c r="AQ45" s="1">
        <v>40324.19</v>
      </c>
      <c r="AR45" s="24">
        <v>0</v>
      </c>
      <c r="AS45" s="24">
        <v>9608.81</v>
      </c>
      <c r="AT45" s="1">
        <v>0</v>
      </c>
      <c r="AU45" s="1">
        <v>11105.3</v>
      </c>
      <c r="AV45" s="24">
        <v>0</v>
      </c>
      <c r="AW45" s="24">
        <v>25936.01</v>
      </c>
      <c r="AX45" s="45">
        <v>0</v>
      </c>
      <c r="AY45" s="45">
        <v>18098.93</v>
      </c>
      <c r="AZ45" s="24">
        <v>0</v>
      </c>
      <c r="BA45" s="24">
        <v>17297.34</v>
      </c>
      <c r="BB45" s="24">
        <v>0</v>
      </c>
      <c r="BC45" s="24">
        <v>26038.98</v>
      </c>
      <c r="BD45" s="24">
        <v>0</v>
      </c>
      <c r="BE45" s="24">
        <v>16231.94</v>
      </c>
      <c r="BF45" s="24">
        <v>0</v>
      </c>
      <c r="BG45" s="24">
        <v>14436.02</v>
      </c>
      <c r="BH45" s="24">
        <v>0</v>
      </c>
      <c r="BI45" s="24">
        <v>25166.04</v>
      </c>
      <c r="BJ45" s="9">
        <f t="shared" si="16"/>
        <v>0</v>
      </c>
      <c r="BK45" s="9">
        <f t="shared" si="17"/>
        <v>255946.3</v>
      </c>
      <c r="BL45" s="153">
        <f t="shared" si="18"/>
        <v>255946.3</v>
      </c>
      <c r="BM45" s="154"/>
      <c r="BN45" s="154">
        <v>70122.98</v>
      </c>
      <c r="BO45" s="154"/>
      <c r="BP45" s="154"/>
      <c r="BQ45" s="154"/>
      <c r="BR45" s="155">
        <f t="shared" si="19"/>
        <v>326069.27999999997</v>
      </c>
      <c r="BS45" s="198">
        <v>1306.34</v>
      </c>
      <c r="BT45" s="199">
        <v>4128</v>
      </c>
      <c r="BU45" s="20">
        <f t="shared" si="20"/>
        <v>-18052.43000000002</v>
      </c>
      <c r="BV45" s="231">
        <v>185565.77</v>
      </c>
      <c r="BW45" s="229"/>
      <c r="BX45" s="230"/>
    </row>
    <row r="46" spans="1:76" ht="15.75" customHeight="1">
      <c r="A46" s="1">
        <v>39</v>
      </c>
      <c r="B46" s="1" t="s">
        <v>36</v>
      </c>
      <c r="C46" s="1">
        <v>1852.7</v>
      </c>
      <c r="D46" s="1">
        <v>159.2</v>
      </c>
      <c r="E46" s="1">
        <f t="shared" si="23"/>
        <v>2011.9</v>
      </c>
      <c r="F46" s="2">
        <v>14.14</v>
      </c>
      <c r="G46" s="2">
        <f t="shared" si="0"/>
        <v>28448.266000000003</v>
      </c>
      <c r="H46" s="2">
        <f t="shared" si="11"/>
        <v>170689.59600000002</v>
      </c>
      <c r="I46" s="2">
        <f t="shared" si="12"/>
        <v>14.14</v>
      </c>
      <c r="J46" s="2">
        <f t="shared" si="1"/>
        <v>28448.266000000003</v>
      </c>
      <c r="K46" s="2">
        <f t="shared" si="13"/>
        <v>170689.59600000002</v>
      </c>
      <c r="L46" s="97">
        <f t="shared" si="2"/>
        <v>341379.19200000004</v>
      </c>
      <c r="M46" s="109">
        <v>3.92</v>
      </c>
      <c r="N46" s="89">
        <f t="shared" si="3"/>
        <v>94639.776</v>
      </c>
      <c r="O46" s="64">
        <v>1.46</v>
      </c>
      <c r="P46" s="90">
        <f t="shared" si="4"/>
        <v>35248.488000000005</v>
      </c>
      <c r="Q46" s="64"/>
      <c r="R46" s="90">
        <f t="shared" si="5"/>
        <v>0</v>
      </c>
      <c r="S46" s="64"/>
      <c r="T46" s="91">
        <f t="shared" si="6"/>
        <v>0</v>
      </c>
      <c r="U46" s="64">
        <v>0.75</v>
      </c>
      <c r="V46" s="90">
        <f t="shared" si="7"/>
        <v>18107.100000000002</v>
      </c>
      <c r="W46" s="96"/>
      <c r="X46" s="91">
        <f t="shared" si="8"/>
        <v>0</v>
      </c>
      <c r="Y46" s="110">
        <f t="shared" si="14"/>
        <v>147995.364</v>
      </c>
      <c r="Z46" s="32"/>
      <c r="AA46" s="12">
        <f t="shared" si="9"/>
        <v>0</v>
      </c>
      <c r="AB46" s="25">
        <f t="shared" si="10"/>
        <v>341379.19200000004</v>
      </c>
      <c r="AC46" s="44"/>
      <c r="AD46" s="8">
        <f t="shared" si="15"/>
        <v>341379.19200000004</v>
      </c>
      <c r="AE46" s="167">
        <v>132648.26400000002</v>
      </c>
      <c r="AF46" s="168">
        <v>0</v>
      </c>
      <c r="AG46" s="168">
        <v>28448.266000000003</v>
      </c>
      <c r="AH46" s="168">
        <v>0</v>
      </c>
      <c r="AI46" s="168">
        <v>341379.19200000004</v>
      </c>
      <c r="AJ46" s="59"/>
      <c r="AK46" s="59"/>
      <c r="AL46" s="45">
        <v>0</v>
      </c>
      <c r="AM46" s="45">
        <v>13091.45</v>
      </c>
      <c r="AN46" s="2">
        <v>0</v>
      </c>
      <c r="AO46" s="2">
        <v>12392.18</v>
      </c>
      <c r="AP46" s="1">
        <v>0</v>
      </c>
      <c r="AQ46" s="1">
        <v>81592.87</v>
      </c>
      <c r="AR46" s="24">
        <v>0</v>
      </c>
      <c r="AS46" s="24">
        <v>20631.45</v>
      </c>
      <c r="AT46" s="1">
        <v>0</v>
      </c>
      <c r="AU46" s="1">
        <v>166310.63</v>
      </c>
      <c r="AV46" s="24">
        <v>0</v>
      </c>
      <c r="AW46" s="197">
        <v>85944.34</v>
      </c>
      <c r="AX46" s="45">
        <v>0</v>
      </c>
      <c r="AY46" s="45">
        <v>69260.32</v>
      </c>
      <c r="AZ46" s="24">
        <v>0</v>
      </c>
      <c r="BA46" s="24">
        <v>14761.54</v>
      </c>
      <c r="BB46" s="24">
        <v>0</v>
      </c>
      <c r="BC46" s="24">
        <v>30397.67</v>
      </c>
      <c r="BD46" s="24">
        <v>0</v>
      </c>
      <c r="BE46" s="24">
        <v>28862.96</v>
      </c>
      <c r="BF46" s="24">
        <v>0</v>
      </c>
      <c r="BG46" s="24">
        <v>16590.51</v>
      </c>
      <c r="BH46" s="24">
        <v>0</v>
      </c>
      <c r="BI46" s="24">
        <v>13899.82</v>
      </c>
      <c r="BJ46" s="9">
        <f t="shared" si="16"/>
        <v>0</v>
      </c>
      <c r="BK46" s="9">
        <f t="shared" si="17"/>
        <v>553735.74</v>
      </c>
      <c r="BL46" s="153">
        <f t="shared" si="18"/>
        <v>553735.74</v>
      </c>
      <c r="BM46" s="154"/>
      <c r="BN46" s="154"/>
      <c r="BO46" s="154"/>
      <c r="BP46" s="154"/>
      <c r="BQ46" s="154"/>
      <c r="BR46" s="155">
        <f t="shared" si="19"/>
        <v>553735.74</v>
      </c>
      <c r="BS46" s="198"/>
      <c r="BT46" s="199">
        <v>4128</v>
      </c>
      <c r="BU46" s="20">
        <f t="shared" si="20"/>
        <v>-212356.54799999995</v>
      </c>
      <c r="BV46" s="231">
        <v>305792.17</v>
      </c>
      <c r="BW46" s="229"/>
      <c r="BX46" s="230"/>
    </row>
    <row r="47" spans="1:76" ht="15.75" customHeight="1">
      <c r="A47" s="1">
        <v>40</v>
      </c>
      <c r="B47" s="1" t="s">
        <v>37</v>
      </c>
      <c r="C47" s="1">
        <v>2512.26</v>
      </c>
      <c r="D47" s="1">
        <v>251.9</v>
      </c>
      <c r="E47" s="1">
        <f t="shared" si="23"/>
        <v>2764.1600000000003</v>
      </c>
      <c r="F47" s="2">
        <v>15.22</v>
      </c>
      <c r="G47" s="2">
        <f t="shared" si="0"/>
        <v>42070.51520000001</v>
      </c>
      <c r="H47" s="2">
        <f t="shared" si="11"/>
        <v>252423.09120000005</v>
      </c>
      <c r="I47" s="2">
        <f t="shared" si="12"/>
        <v>15.22</v>
      </c>
      <c r="J47" s="2">
        <f t="shared" si="1"/>
        <v>42070.51520000001</v>
      </c>
      <c r="K47" s="2">
        <f t="shared" si="13"/>
        <v>252423.09120000005</v>
      </c>
      <c r="L47" s="97">
        <f t="shared" si="2"/>
        <v>504846.1824000001</v>
      </c>
      <c r="M47" s="109">
        <v>3.92</v>
      </c>
      <c r="N47" s="89">
        <f t="shared" si="3"/>
        <v>130026.08640000003</v>
      </c>
      <c r="O47" s="64">
        <v>1.46</v>
      </c>
      <c r="P47" s="90">
        <f t="shared" si="4"/>
        <v>48428.08320000001</v>
      </c>
      <c r="Q47" s="64"/>
      <c r="R47" s="90">
        <f t="shared" si="5"/>
        <v>0</v>
      </c>
      <c r="S47" s="64"/>
      <c r="T47" s="91">
        <f t="shared" si="6"/>
        <v>0</v>
      </c>
      <c r="U47" s="64">
        <v>0.54</v>
      </c>
      <c r="V47" s="90">
        <f t="shared" si="7"/>
        <v>17911.756800000003</v>
      </c>
      <c r="W47" s="96"/>
      <c r="X47" s="91">
        <f t="shared" si="8"/>
        <v>0</v>
      </c>
      <c r="Y47" s="110">
        <f t="shared" si="14"/>
        <v>196365.92640000003</v>
      </c>
      <c r="Z47" s="32"/>
      <c r="AA47" s="12">
        <f t="shared" si="9"/>
        <v>0</v>
      </c>
      <c r="AB47" s="25">
        <f t="shared" si="10"/>
        <v>504846.1824000001</v>
      </c>
      <c r="AC47" s="44"/>
      <c r="AD47" s="8">
        <f t="shared" si="15"/>
        <v>504846.1824000001</v>
      </c>
      <c r="AE47" s="167">
        <v>181214.1696</v>
      </c>
      <c r="AF47" s="168">
        <v>24524.70536381831</v>
      </c>
      <c r="AG47" s="168">
        <v>17545.8098361817</v>
      </c>
      <c r="AH47" s="168">
        <v>294296.4643658197</v>
      </c>
      <c r="AI47" s="168">
        <v>210549.7180341804</v>
      </c>
      <c r="AJ47" s="59"/>
      <c r="AK47" s="59"/>
      <c r="AL47" s="45">
        <v>46638.91</v>
      </c>
      <c r="AM47" s="45">
        <v>8162.26</v>
      </c>
      <c r="AN47" s="2">
        <v>30364.42</v>
      </c>
      <c r="AO47" s="2">
        <v>18552.21</v>
      </c>
      <c r="AP47" s="1">
        <v>14970.65</v>
      </c>
      <c r="AQ47" s="1">
        <v>7546.16</v>
      </c>
      <c r="AR47" s="24">
        <v>5390.11</v>
      </c>
      <c r="AS47" s="24">
        <v>8822.16</v>
      </c>
      <c r="AT47" s="1">
        <v>13547.91</v>
      </c>
      <c r="AU47" s="1">
        <v>7546.16</v>
      </c>
      <c r="AV47" s="24">
        <v>19108.26</v>
      </c>
      <c r="AW47" s="24">
        <v>18126.16</v>
      </c>
      <c r="AX47" s="45">
        <v>12948.94</v>
      </c>
      <c r="AY47" s="45">
        <v>67551.3</v>
      </c>
      <c r="AZ47" s="24">
        <v>11471.26</v>
      </c>
      <c r="BA47" s="24">
        <v>19046.1</v>
      </c>
      <c r="BB47" s="24">
        <v>62704.56</v>
      </c>
      <c r="BC47" s="24">
        <v>10565.56</v>
      </c>
      <c r="BD47" s="24">
        <v>266041.83</v>
      </c>
      <c r="BE47" s="24">
        <v>11169.44</v>
      </c>
      <c r="BF47" s="24">
        <v>14505.42</v>
      </c>
      <c r="BG47" s="24">
        <v>12343.56</v>
      </c>
      <c r="BH47" s="24">
        <v>34292.26</v>
      </c>
      <c r="BI47" s="24">
        <v>37137.1</v>
      </c>
      <c r="BJ47" s="9">
        <f t="shared" si="16"/>
        <v>531984.5299999999</v>
      </c>
      <c r="BK47" s="9">
        <f t="shared" si="17"/>
        <v>226568.17000000004</v>
      </c>
      <c r="BL47" s="153">
        <f t="shared" si="18"/>
        <v>758552.7</v>
      </c>
      <c r="BM47" s="154"/>
      <c r="BN47" s="154"/>
      <c r="BO47" s="154"/>
      <c r="BP47" s="154"/>
      <c r="BQ47" s="154"/>
      <c r="BR47" s="155">
        <f t="shared" si="19"/>
        <v>758552.7</v>
      </c>
      <c r="BS47" s="198">
        <v>4035.44</v>
      </c>
      <c r="BT47" s="199">
        <v>4128</v>
      </c>
      <c r="BU47" s="20">
        <f t="shared" si="20"/>
        <v>-249671.07759999984</v>
      </c>
      <c r="BV47" s="231">
        <v>446380.57</v>
      </c>
      <c r="BW47" s="229"/>
      <c r="BX47" s="230"/>
    </row>
    <row r="48" spans="1:76" ht="15.75">
      <c r="A48" s="1">
        <v>41</v>
      </c>
      <c r="B48" s="1" t="s">
        <v>38</v>
      </c>
      <c r="C48" s="1">
        <v>2009.5</v>
      </c>
      <c r="D48" s="1">
        <v>0</v>
      </c>
      <c r="E48" s="1">
        <f t="shared" si="23"/>
        <v>2009.5</v>
      </c>
      <c r="F48" s="2">
        <v>14.7</v>
      </c>
      <c r="G48" s="2">
        <f t="shared" si="0"/>
        <v>29539.649999999998</v>
      </c>
      <c r="H48" s="2">
        <f t="shared" si="11"/>
        <v>177237.9</v>
      </c>
      <c r="I48" s="2">
        <f t="shared" si="12"/>
        <v>14.7</v>
      </c>
      <c r="J48" s="2">
        <f t="shared" si="1"/>
        <v>29539.649999999998</v>
      </c>
      <c r="K48" s="2">
        <f t="shared" si="13"/>
        <v>177237.9</v>
      </c>
      <c r="L48" s="97">
        <f t="shared" si="2"/>
        <v>354475.8</v>
      </c>
      <c r="M48" s="109">
        <v>3.92</v>
      </c>
      <c r="N48" s="89">
        <f t="shared" si="3"/>
        <v>94526.88</v>
      </c>
      <c r="O48" s="64">
        <v>1.46</v>
      </c>
      <c r="P48" s="90">
        <f t="shared" si="4"/>
        <v>35206.44</v>
      </c>
      <c r="Q48" s="64"/>
      <c r="R48" s="90">
        <f t="shared" si="5"/>
        <v>0</v>
      </c>
      <c r="S48" s="64"/>
      <c r="T48" s="91">
        <f t="shared" si="6"/>
        <v>0</v>
      </c>
      <c r="U48" s="64">
        <v>0.74</v>
      </c>
      <c r="V48" s="90">
        <f t="shared" si="7"/>
        <v>17844.36</v>
      </c>
      <c r="W48" s="96"/>
      <c r="X48" s="91">
        <f t="shared" si="8"/>
        <v>0</v>
      </c>
      <c r="Y48" s="110">
        <f t="shared" si="14"/>
        <v>147577.68</v>
      </c>
      <c r="Z48" s="32">
        <v>-103813.61</v>
      </c>
      <c r="AA48" s="12">
        <f t="shared" si="9"/>
        <v>-0.29286515468756963</v>
      </c>
      <c r="AB48" s="25">
        <f t="shared" si="10"/>
        <v>250662.19</v>
      </c>
      <c r="AC48" s="44"/>
      <c r="AD48" s="8">
        <f t="shared" si="15"/>
        <v>250662.19</v>
      </c>
      <c r="AE48" s="167">
        <v>132493.32</v>
      </c>
      <c r="AF48" s="168">
        <v>0</v>
      </c>
      <c r="AG48" s="168">
        <v>20888.515833333335</v>
      </c>
      <c r="AH48" s="168">
        <v>0</v>
      </c>
      <c r="AI48" s="168">
        <v>250662.19</v>
      </c>
      <c r="AJ48" s="59"/>
      <c r="AK48" s="59"/>
      <c r="AL48" s="45">
        <v>0</v>
      </c>
      <c r="AM48" s="45">
        <v>9333.04</v>
      </c>
      <c r="AN48" s="2">
        <v>0</v>
      </c>
      <c r="AO48" s="2">
        <v>26656.23</v>
      </c>
      <c r="AP48" s="1">
        <v>0</v>
      </c>
      <c r="AQ48" s="1">
        <v>9333.04</v>
      </c>
      <c r="AR48" s="24">
        <v>0</v>
      </c>
      <c r="AS48" s="24">
        <v>11689.04</v>
      </c>
      <c r="AT48" s="1">
        <v>0</v>
      </c>
      <c r="AU48" s="1">
        <v>14020.51</v>
      </c>
      <c r="AV48" s="24">
        <v>0</v>
      </c>
      <c r="AW48" s="24">
        <v>13294.76</v>
      </c>
      <c r="AX48" s="45">
        <v>0</v>
      </c>
      <c r="AY48" s="45">
        <v>29950.82</v>
      </c>
      <c r="AZ48" s="24">
        <v>0</v>
      </c>
      <c r="BA48" s="24">
        <v>52999.75</v>
      </c>
      <c r="BB48" s="24">
        <v>0</v>
      </c>
      <c r="BC48" s="24">
        <v>26040.72</v>
      </c>
      <c r="BD48" s="24">
        <v>0</v>
      </c>
      <c r="BE48" s="24">
        <v>23584.59</v>
      </c>
      <c r="BF48" s="24">
        <v>0</v>
      </c>
      <c r="BG48" s="24">
        <v>25190.76</v>
      </c>
      <c r="BH48" s="24">
        <v>0</v>
      </c>
      <c r="BI48" s="24">
        <v>14733.4</v>
      </c>
      <c r="BJ48" s="9">
        <f t="shared" si="16"/>
        <v>0</v>
      </c>
      <c r="BK48" s="9">
        <f t="shared" si="17"/>
        <v>256826.66</v>
      </c>
      <c r="BL48" s="153">
        <f t="shared" si="18"/>
        <v>256826.66</v>
      </c>
      <c r="BM48" s="154"/>
      <c r="BN48" s="154"/>
      <c r="BO48" s="154"/>
      <c r="BP48" s="154"/>
      <c r="BQ48" s="154"/>
      <c r="BR48" s="155">
        <f t="shared" si="19"/>
        <v>256826.66</v>
      </c>
      <c r="BS48" s="198"/>
      <c r="BT48" s="199"/>
      <c r="BU48" s="20">
        <f t="shared" si="20"/>
        <v>-6164.470000000001</v>
      </c>
      <c r="BV48" s="231">
        <v>157615.56</v>
      </c>
      <c r="BW48" s="229"/>
      <c r="BX48" s="230"/>
    </row>
    <row r="49" spans="1:76" ht="15.75">
      <c r="A49" s="1">
        <v>42</v>
      </c>
      <c r="B49" s="1" t="s">
        <v>39</v>
      </c>
      <c r="C49" s="1">
        <v>1272.3</v>
      </c>
      <c r="D49" s="1">
        <v>0</v>
      </c>
      <c r="E49" s="1">
        <f t="shared" si="23"/>
        <v>1272.3</v>
      </c>
      <c r="F49" s="2">
        <v>14.8</v>
      </c>
      <c r="G49" s="2">
        <f t="shared" si="0"/>
        <v>18830.04</v>
      </c>
      <c r="H49" s="2">
        <f t="shared" si="11"/>
        <v>112980.24</v>
      </c>
      <c r="I49" s="2">
        <f t="shared" si="12"/>
        <v>14.8</v>
      </c>
      <c r="J49" s="2">
        <f t="shared" si="1"/>
        <v>18830.04</v>
      </c>
      <c r="K49" s="2">
        <f t="shared" si="13"/>
        <v>112980.24</v>
      </c>
      <c r="L49" s="97">
        <f t="shared" si="2"/>
        <v>225960.48</v>
      </c>
      <c r="M49" s="109">
        <v>3.92</v>
      </c>
      <c r="N49" s="89">
        <f t="shared" si="3"/>
        <v>59848.992</v>
      </c>
      <c r="O49" s="64">
        <v>1.46</v>
      </c>
      <c r="P49" s="90">
        <f t="shared" si="4"/>
        <v>22290.696</v>
      </c>
      <c r="Q49" s="64"/>
      <c r="R49" s="90">
        <f t="shared" si="5"/>
        <v>0</v>
      </c>
      <c r="S49" s="64"/>
      <c r="T49" s="91">
        <f t="shared" si="6"/>
        <v>0</v>
      </c>
      <c r="U49" s="64">
        <v>0.27</v>
      </c>
      <c r="V49" s="90">
        <f t="shared" si="7"/>
        <v>4122.252</v>
      </c>
      <c r="W49" s="96"/>
      <c r="X49" s="91">
        <f t="shared" si="8"/>
        <v>0</v>
      </c>
      <c r="Y49" s="110">
        <f t="shared" si="14"/>
        <v>86261.94</v>
      </c>
      <c r="Z49" s="32">
        <v>-30302.09</v>
      </c>
      <c r="AA49" s="12">
        <f t="shared" si="9"/>
        <v>-0.13410349455798642</v>
      </c>
      <c r="AB49" s="25">
        <f t="shared" si="10"/>
        <v>195658.39</v>
      </c>
      <c r="AC49" s="44"/>
      <c r="AD49" s="8">
        <f t="shared" si="15"/>
        <v>195658.39</v>
      </c>
      <c r="AE49" s="167">
        <v>84899.688</v>
      </c>
      <c r="AF49" s="168">
        <v>9218.03574974605</v>
      </c>
      <c r="AG49" s="168">
        <v>7086.830083587284</v>
      </c>
      <c r="AH49" s="168">
        <v>110616.4289969526</v>
      </c>
      <c r="AI49" s="168">
        <v>85041.96100304741</v>
      </c>
      <c r="AJ49" s="26"/>
      <c r="AK49" s="26"/>
      <c r="AL49" s="45">
        <v>17788.25</v>
      </c>
      <c r="AM49" s="45">
        <v>3703.38</v>
      </c>
      <c r="AN49" s="2">
        <v>6610.14</v>
      </c>
      <c r="AO49" s="2">
        <v>6776.57</v>
      </c>
      <c r="AP49" s="1">
        <v>15250.14</v>
      </c>
      <c r="AQ49" s="1">
        <v>3703.38</v>
      </c>
      <c r="AR49" s="24">
        <v>14170.14</v>
      </c>
      <c r="AS49" s="24">
        <v>4979.38</v>
      </c>
      <c r="AT49" s="1">
        <v>4262.21</v>
      </c>
      <c r="AU49" s="1">
        <v>4428.45</v>
      </c>
      <c r="AV49" s="24">
        <v>4262.21</v>
      </c>
      <c r="AW49" s="24">
        <v>3703.38</v>
      </c>
      <c r="AX49" s="45">
        <v>26137.21</v>
      </c>
      <c r="AY49" s="45">
        <v>14283.38</v>
      </c>
      <c r="AZ49" s="24">
        <v>4262.21</v>
      </c>
      <c r="BA49" s="24">
        <v>5203.38</v>
      </c>
      <c r="BB49" s="24">
        <v>15453.26</v>
      </c>
      <c r="BC49" s="24">
        <v>8072.78</v>
      </c>
      <c r="BD49" s="24">
        <v>2290.14</v>
      </c>
      <c r="BE49" s="24">
        <v>6722.78</v>
      </c>
      <c r="BF49" s="24">
        <v>4404.51</v>
      </c>
      <c r="BG49" s="24">
        <v>8230.78</v>
      </c>
      <c r="BH49" s="24">
        <v>2290.14</v>
      </c>
      <c r="BI49" s="24">
        <v>4083.38</v>
      </c>
      <c r="BJ49" s="9">
        <f t="shared" si="16"/>
        <v>117180.55999999998</v>
      </c>
      <c r="BK49" s="9">
        <f t="shared" si="17"/>
        <v>73891.02</v>
      </c>
      <c r="BL49" s="153">
        <f t="shared" si="18"/>
        <v>191071.58</v>
      </c>
      <c r="BM49" s="154"/>
      <c r="BN49" s="154"/>
      <c r="BO49" s="154"/>
      <c r="BP49" s="154"/>
      <c r="BQ49" s="154"/>
      <c r="BR49" s="155">
        <f t="shared" si="19"/>
        <v>191071.58</v>
      </c>
      <c r="BS49" s="198"/>
      <c r="BT49" s="199"/>
      <c r="BU49" s="20">
        <f t="shared" si="20"/>
        <v>4586.810000000027</v>
      </c>
      <c r="BV49" s="231">
        <v>97933.67</v>
      </c>
      <c r="BW49" s="229"/>
      <c r="BX49" s="230"/>
    </row>
    <row r="50" spans="1:76" ht="15.75">
      <c r="A50" s="1">
        <v>43</v>
      </c>
      <c r="B50" s="1" t="s">
        <v>40</v>
      </c>
      <c r="C50" s="1">
        <v>1951</v>
      </c>
      <c r="D50" s="1">
        <v>75.5</v>
      </c>
      <c r="E50" s="1">
        <f t="shared" si="23"/>
        <v>2026.5</v>
      </c>
      <c r="F50" s="2">
        <v>14.8</v>
      </c>
      <c r="G50" s="2">
        <f t="shared" si="0"/>
        <v>29992.2</v>
      </c>
      <c r="H50" s="2">
        <f t="shared" si="11"/>
        <v>179953.2</v>
      </c>
      <c r="I50" s="2">
        <f t="shared" si="12"/>
        <v>14.8</v>
      </c>
      <c r="J50" s="2">
        <f t="shared" si="1"/>
        <v>29992.2</v>
      </c>
      <c r="K50" s="2">
        <f t="shared" si="13"/>
        <v>179953.2</v>
      </c>
      <c r="L50" s="97">
        <f t="shared" si="2"/>
        <v>359906.4</v>
      </c>
      <c r="M50" s="109">
        <v>3.92</v>
      </c>
      <c r="N50" s="89">
        <f t="shared" si="3"/>
        <v>95326.56</v>
      </c>
      <c r="O50" s="64">
        <v>1.46</v>
      </c>
      <c r="P50" s="90">
        <f t="shared" si="4"/>
        <v>35504.28</v>
      </c>
      <c r="Q50" s="64"/>
      <c r="R50" s="90">
        <f t="shared" si="5"/>
        <v>0</v>
      </c>
      <c r="S50" s="64"/>
      <c r="T50" s="91">
        <f t="shared" si="6"/>
        <v>0</v>
      </c>
      <c r="U50" s="64">
        <v>0.74</v>
      </c>
      <c r="V50" s="90">
        <f t="shared" si="7"/>
        <v>17995.32</v>
      </c>
      <c r="W50" s="96"/>
      <c r="X50" s="91">
        <f t="shared" si="8"/>
        <v>0</v>
      </c>
      <c r="Y50" s="110">
        <f t="shared" si="14"/>
        <v>148826.16</v>
      </c>
      <c r="Z50" s="32">
        <v>-6619.36</v>
      </c>
      <c r="AA50" s="12">
        <f t="shared" si="9"/>
        <v>-0.018391893003291963</v>
      </c>
      <c r="AB50" s="25">
        <f t="shared" si="10"/>
        <v>353287.04000000004</v>
      </c>
      <c r="AC50" s="44"/>
      <c r="AD50" s="8">
        <f t="shared" si="15"/>
        <v>353287.04000000004</v>
      </c>
      <c r="AE50" s="167">
        <v>68904.96</v>
      </c>
      <c r="AF50" s="168">
        <v>0</v>
      </c>
      <c r="AG50" s="168">
        <v>29440.58666666667</v>
      </c>
      <c r="AH50" s="168">
        <v>0</v>
      </c>
      <c r="AI50" s="168">
        <v>353287.04000000004</v>
      </c>
      <c r="AJ50" s="59" t="s">
        <v>296</v>
      </c>
      <c r="AK50" s="59"/>
      <c r="AL50" s="45">
        <v>0</v>
      </c>
      <c r="AM50" s="45">
        <v>6159.01</v>
      </c>
      <c r="AN50" s="2">
        <v>0</v>
      </c>
      <c r="AO50" s="2">
        <v>13137.64</v>
      </c>
      <c r="AP50" s="1">
        <v>0</v>
      </c>
      <c r="AQ50" s="1">
        <v>10889.13</v>
      </c>
      <c r="AR50" s="24">
        <v>0</v>
      </c>
      <c r="AS50" s="24">
        <v>8312.51</v>
      </c>
      <c r="AT50" s="1">
        <v>0</v>
      </c>
      <c r="AU50" s="1">
        <v>19943.56</v>
      </c>
      <c r="AV50" s="24">
        <v>0</v>
      </c>
      <c r="AW50" s="24">
        <v>8462.68</v>
      </c>
      <c r="AX50" s="45">
        <v>0</v>
      </c>
      <c r="AY50" s="45">
        <v>21200.63</v>
      </c>
      <c r="AZ50" s="24">
        <v>0</v>
      </c>
      <c r="BA50" s="24">
        <v>7659.01</v>
      </c>
      <c r="BB50" s="24">
        <v>0</v>
      </c>
      <c r="BC50" s="24">
        <v>21671.1</v>
      </c>
      <c r="BD50" s="24">
        <v>0</v>
      </c>
      <c r="BE50" s="24">
        <v>45924.47</v>
      </c>
      <c r="BF50" s="24">
        <v>0</v>
      </c>
      <c r="BG50" s="24">
        <v>12181.78</v>
      </c>
      <c r="BH50" s="24">
        <v>0</v>
      </c>
      <c r="BI50" s="24">
        <v>7874.05</v>
      </c>
      <c r="BJ50" s="9">
        <f t="shared" si="16"/>
        <v>0</v>
      </c>
      <c r="BK50" s="9">
        <f t="shared" si="17"/>
        <v>183415.56999999998</v>
      </c>
      <c r="BL50" s="153">
        <f t="shared" si="18"/>
        <v>183415.56999999998</v>
      </c>
      <c r="BM50" s="154"/>
      <c r="BN50" s="154"/>
      <c r="BO50" s="154"/>
      <c r="BP50" s="154"/>
      <c r="BQ50" s="154"/>
      <c r="BR50" s="155">
        <f t="shared" si="19"/>
        <v>183415.56999999998</v>
      </c>
      <c r="BS50" s="198">
        <v>1584.25</v>
      </c>
      <c r="BT50" s="199">
        <v>4128</v>
      </c>
      <c r="BU50" s="20">
        <f t="shared" si="20"/>
        <v>171455.72000000006</v>
      </c>
      <c r="BV50" s="231">
        <v>381467.73</v>
      </c>
      <c r="BW50" s="229"/>
      <c r="BX50" s="230"/>
    </row>
    <row r="51" spans="1:76" ht="15.75" customHeight="1">
      <c r="A51" s="1">
        <v>44</v>
      </c>
      <c r="B51" s="1" t="s">
        <v>41</v>
      </c>
      <c r="C51" s="1">
        <v>1072.8</v>
      </c>
      <c r="D51" s="1">
        <v>217.6</v>
      </c>
      <c r="E51" s="1">
        <f t="shared" si="23"/>
        <v>1290.3999999999999</v>
      </c>
      <c r="F51" s="2">
        <v>14.83</v>
      </c>
      <c r="G51" s="2">
        <f t="shared" si="0"/>
        <v>19136.631999999998</v>
      </c>
      <c r="H51" s="2">
        <f t="shared" si="11"/>
        <v>114819.79199999999</v>
      </c>
      <c r="I51" s="2">
        <f t="shared" si="12"/>
        <v>14.83</v>
      </c>
      <c r="J51" s="2">
        <f t="shared" si="1"/>
        <v>19136.631999999998</v>
      </c>
      <c r="K51" s="2">
        <f t="shared" si="13"/>
        <v>114819.79199999999</v>
      </c>
      <c r="L51" s="97">
        <f t="shared" si="2"/>
        <v>229639.58399999997</v>
      </c>
      <c r="M51" s="109">
        <v>3.92</v>
      </c>
      <c r="N51" s="89">
        <f t="shared" si="3"/>
        <v>60700.416</v>
      </c>
      <c r="O51" s="64">
        <v>1.46</v>
      </c>
      <c r="P51" s="90">
        <f t="shared" si="4"/>
        <v>22607.807999999997</v>
      </c>
      <c r="Q51" s="64"/>
      <c r="R51" s="90">
        <f t="shared" si="5"/>
        <v>0</v>
      </c>
      <c r="S51" s="64"/>
      <c r="T51" s="91">
        <f t="shared" si="6"/>
        <v>0</v>
      </c>
      <c r="U51" s="64">
        <v>1.16</v>
      </c>
      <c r="V51" s="90">
        <f t="shared" si="7"/>
        <v>17962.368</v>
      </c>
      <c r="W51" s="96"/>
      <c r="X51" s="91">
        <f t="shared" si="8"/>
        <v>0</v>
      </c>
      <c r="Y51" s="110">
        <f t="shared" si="14"/>
        <v>101270.59199999999</v>
      </c>
      <c r="Z51" s="32">
        <v>-1978.49</v>
      </c>
      <c r="AA51" s="12">
        <f t="shared" si="9"/>
        <v>-0.008615631353869724</v>
      </c>
      <c r="AB51" s="25">
        <f t="shared" si="10"/>
        <v>227661.09399999998</v>
      </c>
      <c r="AC51" s="44"/>
      <c r="AD51" s="8">
        <f t="shared" si="15"/>
        <v>227661.09399999998</v>
      </c>
      <c r="AE51" s="167">
        <v>86068.22400000002</v>
      </c>
      <c r="AF51" s="168">
        <v>10938.99603425202</v>
      </c>
      <c r="AG51" s="168">
        <v>8032.761799081312</v>
      </c>
      <c r="AH51" s="168">
        <v>131267.95241102425</v>
      </c>
      <c r="AI51" s="168">
        <v>96393.14158897575</v>
      </c>
      <c r="AJ51" s="59"/>
      <c r="AK51" s="59"/>
      <c r="AL51" s="45">
        <v>2516.28</v>
      </c>
      <c r="AM51" s="45">
        <v>3752.79</v>
      </c>
      <c r="AN51" s="2">
        <v>2516.28</v>
      </c>
      <c r="AO51" s="2">
        <v>7695.98</v>
      </c>
      <c r="AP51" s="1">
        <v>2516.28</v>
      </c>
      <c r="AQ51" s="1">
        <v>3752.79</v>
      </c>
      <c r="AR51" s="24">
        <v>4178.45</v>
      </c>
      <c r="AS51" s="24">
        <v>5028.79</v>
      </c>
      <c r="AT51" s="1">
        <v>5355.16</v>
      </c>
      <c r="AU51" s="1">
        <v>6237.12</v>
      </c>
      <c r="AV51" s="24">
        <v>12916.59</v>
      </c>
      <c r="AW51" s="24">
        <v>3752.79</v>
      </c>
      <c r="AX51" s="45">
        <v>5355.16</v>
      </c>
      <c r="AY51" s="45">
        <v>14332.79</v>
      </c>
      <c r="AZ51" s="24">
        <v>10057.43</v>
      </c>
      <c r="BA51" s="24">
        <v>5252.79</v>
      </c>
      <c r="BB51" s="24">
        <v>12117.9</v>
      </c>
      <c r="BC51" s="24">
        <v>25801.28</v>
      </c>
      <c r="BD51" s="24">
        <v>2516.28</v>
      </c>
      <c r="BE51" s="24">
        <v>6772.19</v>
      </c>
      <c r="BF51" s="24">
        <v>4846.65</v>
      </c>
      <c r="BG51" s="24">
        <v>8280.19</v>
      </c>
      <c r="BH51" s="24">
        <v>2516.28</v>
      </c>
      <c r="BI51" s="24">
        <v>3752.79</v>
      </c>
      <c r="BJ51" s="9">
        <f t="shared" si="16"/>
        <v>67408.74</v>
      </c>
      <c r="BK51" s="9">
        <f t="shared" si="17"/>
        <v>94412.29</v>
      </c>
      <c r="BL51" s="153">
        <f t="shared" si="18"/>
        <v>161821.03</v>
      </c>
      <c r="BM51" s="154"/>
      <c r="BN51" s="154"/>
      <c r="BO51" s="154"/>
      <c r="BP51" s="154"/>
      <c r="BQ51" s="154"/>
      <c r="BR51" s="155">
        <f t="shared" si="19"/>
        <v>161821.03</v>
      </c>
      <c r="BS51" s="198">
        <v>941.99</v>
      </c>
      <c r="BT51" s="199"/>
      <c r="BU51" s="20">
        <f t="shared" si="20"/>
        <v>66782.05399999999</v>
      </c>
      <c r="BV51" s="231">
        <v>335330.8</v>
      </c>
      <c r="BW51" s="229"/>
      <c r="BX51" s="230"/>
    </row>
    <row r="52" spans="1:76" ht="15.75" customHeight="1">
      <c r="A52" s="1">
        <v>45</v>
      </c>
      <c r="B52" s="1" t="s">
        <v>42</v>
      </c>
      <c r="C52" s="1">
        <v>2565.3</v>
      </c>
      <c r="D52" s="1">
        <v>0</v>
      </c>
      <c r="E52" s="1">
        <f t="shared" si="23"/>
        <v>2565.3</v>
      </c>
      <c r="F52" s="2">
        <v>15.22</v>
      </c>
      <c r="G52" s="2">
        <f t="shared" si="0"/>
        <v>39043.866</v>
      </c>
      <c r="H52" s="2">
        <f t="shared" si="11"/>
        <v>234263.196</v>
      </c>
      <c r="I52" s="2">
        <f t="shared" si="12"/>
        <v>15.22</v>
      </c>
      <c r="J52" s="2">
        <f t="shared" si="1"/>
        <v>39043.866</v>
      </c>
      <c r="K52" s="2">
        <f t="shared" si="13"/>
        <v>234263.196</v>
      </c>
      <c r="L52" s="97">
        <f t="shared" si="2"/>
        <v>468526.392</v>
      </c>
      <c r="M52" s="109">
        <v>3.92</v>
      </c>
      <c r="N52" s="89">
        <f t="shared" si="3"/>
        <v>120671.712</v>
      </c>
      <c r="O52" s="64">
        <v>1.46</v>
      </c>
      <c r="P52" s="90">
        <f t="shared" si="4"/>
        <v>44944.056000000004</v>
      </c>
      <c r="Q52" s="64"/>
      <c r="R52" s="90">
        <f t="shared" si="5"/>
        <v>0</v>
      </c>
      <c r="S52" s="64"/>
      <c r="T52" s="91">
        <f t="shared" si="6"/>
        <v>0</v>
      </c>
      <c r="U52" s="64">
        <v>0.58</v>
      </c>
      <c r="V52" s="90">
        <f t="shared" si="7"/>
        <v>17854.488</v>
      </c>
      <c r="W52" s="96"/>
      <c r="X52" s="91">
        <f t="shared" si="8"/>
        <v>0</v>
      </c>
      <c r="Y52" s="110">
        <f t="shared" si="14"/>
        <v>183470.25600000002</v>
      </c>
      <c r="Z52" s="32">
        <v>-352471.07</v>
      </c>
      <c r="AA52" s="12">
        <f t="shared" si="9"/>
        <v>-0.7522971512776595</v>
      </c>
      <c r="AB52" s="25">
        <f t="shared" si="10"/>
        <v>116055.32199999999</v>
      </c>
      <c r="AC52" s="44"/>
      <c r="AD52" s="8">
        <f t="shared" si="15"/>
        <v>116055.32199999999</v>
      </c>
      <c r="AE52" s="167">
        <v>168375.76800000004</v>
      </c>
      <c r="AF52" s="168">
        <v>5589.343742363554</v>
      </c>
      <c r="AG52" s="168">
        <v>4081.9330909697783</v>
      </c>
      <c r="AH52" s="168">
        <v>67072.12490836265</v>
      </c>
      <c r="AI52" s="168">
        <v>48983.19709163734</v>
      </c>
      <c r="AJ52" s="59"/>
      <c r="AK52" s="59"/>
      <c r="AL52" s="45">
        <v>32509.04</v>
      </c>
      <c r="AM52" s="45">
        <v>9469.52</v>
      </c>
      <c r="AN52" s="2">
        <v>28762.34</v>
      </c>
      <c r="AO52" s="2">
        <v>17304.82</v>
      </c>
      <c r="AP52" s="1">
        <v>5002.34</v>
      </c>
      <c r="AQ52" s="1">
        <v>34647.62</v>
      </c>
      <c r="AR52" s="24">
        <v>10106.59</v>
      </c>
      <c r="AS52" s="24">
        <v>11046.61</v>
      </c>
      <c r="AT52" s="1">
        <v>11607.2</v>
      </c>
      <c r="AU52" s="1">
        <v>9530.11</v>
      </c>
      <c r="AV52" s="24">
        <v>21535.31</v>
      </c>
      <c r="AW52" s="24">
        <v>64466.85</v>
      </c>
      <c r="AX52" s="45">
        <v>11684.93</v>
      </c>
      <c r="AY52" s="45">
        <v>21098.27</v>
      </c>
      <c r="AZ52" s="24">
        <v>15748.55</v>
      </c>
      <c r="BA52" s="24">
        <v>8733.27</v>
      </c>
      <c r="BB52" s="24">
        <v>12392.5</v>
      </c>
      <c r="BC52" s="24">
        <v>11685.68</v>
      </c>
      <c r="BD52" s="24">
        <v>10472.75</v>
      </c>
      <c r="BE52" s="24">
        <v>10856.55</v>
      </c>
      <c r="BF52" s="24">
        <v>7254.64</v>
      </c>
      <c r="BG52" s="24">
        <v>11760.67</v>
      </c>
      <c r="BH52" s="24">
        <v>35437.86</v>
      </c>
      <c r="BI52" s="24">
        <v>7233.27</v>
      </c>
      <c r="BJ52" s="9">
        <f t="shared" si="16"/>
        <v>202514.05</v>
      </c>
      <c r="BK52" s="9">
        <f t="shared" si="17"/>
        <v>217833.23999999996</v>
      </c>
      <c r="BL52" s="153">
        <f t="shared" si="18"/>
        <v>420347.2899999999</v>
      </c>
      <c r="BM52" s="154"/>
      <c r="BN52" s="154"/>
      <c r="BO52" s="154"/>
      <c r="BP52" s="154"/>
      <c r="BQ52" s="154"/>
      <c r="BR52" s="155">
        <f t="shared" si="19"/>
        <v>420347.2899999999</v>
      </c>
      <c r="BS52" s="198">
        <v>1873.62</v>
      </c>
      <c r="BT52" s="199">
        <v>4128</v>
      </c>
      <c r="BU52" s="20">
        <f t="shared" si="20"/>
        <v>-302418.34799999994</v>
      </c>
      <c r="BV52" s="231">
        <v>434632.85</v>
      </c>
      <c r="BW52" s="229"/>
      <c r="BX52" s="230"/>
    </row>
    <row r="53" spans="1:76" ht="15.75" customHeight="1">
      <c r="A53" s="1">
        <v>46</v>
      </c>
      <c r="B53" s="1" t="s">
        <v>43</v>
      </c>
      <c r="C53" s="1">
        <v>4518.2</v>
      </c>
      <c r="D53" s="1">
        <v>294.2</v>
      </c>
      <c r="E53" s="1">
        <f t="shared" si="23"/>
        <v>4812.4</v>
      </c>
      <c r="F53" s="2">
        <v>15.22</v>
      </c>
      <c r="G53" s="2">
        <f t="shared" si="0"/>
        <v>73244.728</v>
      </c>
      <c r="H53" s="2">
        <f t="shared" si="11"/>
        <v>439468.368</v>
      </c>
      <c r="I53" s="2">
        <f t="shared" si="12"/>
        <v>15.22</v>
      </c>
      <c r="J53" s="2">
        <f t="shared" si="1"/>
        <v>73244.728</v>
      </c>
      <c r="K53" s="2">
        <f t="shared" si="13"/>
        <v>439468.368</v>
      </c>
      <c r="L53" s="97">
        <f t="shared" si="2"/>
        <v>878936.736</v>
      </c>
      <c r="M53" s="109">
        <v>3.92</v>
      </c>
      <c r="N53" s="89">
        <f t="shared" si="3"/>
        <v>226375.29599999997</v>
      </c>
      <c r="O53" s="64">
        <v>1.46</v>
      </c>
      <c r="P53" s="90">
        <f t="shared" si="4"/>
        <v>84313.24799999999</v>
      </c>
      <c r="Q53" s="64"/>
      <c r="R53" s="90">
        <f t="shared" si="5"/>
        <v>0</v>
      </c>
      <c r="S53" s="64"/>
      <c r="T53" s="91">
        <f t="shared" si="6"/>
        <v>0</v>
      </c>
      <c r="U53" s="64">
        <v>0.31</v>
      </c>
      <c r="V53" s="90">
        <f t="shared" si="7"/>
        <v>17902.127999999997</v>
      </c>
      <c r="W53" s="96"/>
      <c r="X53" s="91">
        <f t="shared" si="8"/>
        <v>0</v>
      </c>
      <c r="Y53" s="110">
        <f t="shared" si="14"/>
        <v>328590.672</v>
      </c>
      <c r="Z53" s="32">
        <v>-2088.01</v>
      </c>
      <c r="AA53" s="12">
        <f t="shared" si="9"/>
        <v>-0.0023756089767079666</v>
      </c>
      <c r="AB53" s="25">
        <f t="shared" si="10"/>
        <v>876848.726</v>
      </c>
      <c r="AC53" s="166"/>
      <c r="AD53" s="8">
        <f t="shared" si="15"/>
        <v>876848.726</v>
      </c>
      <c r="AE53" s="167">
        <v>316208.544</v>
      </c>
      <c r="AF53" s="168">
        <v>36688.28272654764</v>
      </c>
      <c r="AG53" s="168">
        <v>26382.444440119038</v>
      </c>
      <c r="AH53" s="168">
        <v>440259.39271857165</v>
      </c>
      <c r="AI53" s="168">
        <v>316589.33328142844</v>
      </c>
      <c r="AJ53" s="59"/>
      <c r="AK53" s="59"/>
      <c r="AL53" s="45">
        <v>69898.92</v>
      </c>
      <c r="AM53" s="45">
        <v>13597.85</v>
      </c>
      <c r="AN53" s="2">
        <v>69113.78</v>
      </c>
      <c r="AO53" s="2">
        <v>20151.04</v>
      </c>
      <c r="AP53" s="1">
        <v>31007.25</v>
      </c>
      <c r="AQ53" s="1">
        <v>19166.37</v>
      </c>
      <c r="AR53" s="24">
        <v>92578.19</v>
      </c>
      <c r="AS53" s="24">
        <v>23591.04</v>
      </c>
      <c r="AT53" s="1">
        <v>20948.73</v>
      </c>
      <c r="AU53" s="1">
        <v>33455.08</v>
      </c>
      <c r="AV53" s="24">
        <v>30324.22</v>
      </c>
      <c r="AW53" s="24">
        <v>30881.25</v>
      </c>
      <c r="AX53" s="45">
        <v>24750.46</v>
      </c>
      <c r="AY53" s="45">
        <v>25864.11</v>
      </c>
      <c r="AZ53" s="24">
        <v>19971.46</v>
      </c>
      <c r="BA53" s="24">
        <v>15097.85</v>
      </c>
      <c r="BB53" s="24">
        <v>24966.46</v>
      </c>
      <c r="BC53" s="24">
        <v>13597.85</v>
      </c>
      <c r="BD53" s="24">
        <v>14599.67</v>
      </c>
      <c r="BE53" s="24">
        <v>18215.7</v>
      </c>
      <c r="BF53" s="24">
        <v>32890.81</v>
      </c>
      <c r="BG53" s="24">
        <v>18125.25</v>
      </c>
      <c r="BH53" s="24">
        <v>36206.79</v>
      </c>
      <c r="BI53" s="24">
        <v>14547.85</v>
      </c>
      <c r="BJ53" s="9">
        <f t="shared" si="16"/>
        <v>467256.74</v>
      </c>
      <c r="BK53" s="9">
        <f t="shared" si="17"/>
        <v>246291.24000000002</v>
      </c>
      <c r="BL53" s="153">
        <f t="shared" si="18"/>
        <v>713547.98</v>
      </c>
      <c r="BM53" s="154"/>
      <c r="BN53" s="154">
        <f>191749+151758.03+73224.34</f>
        <v>416731.37</v>
      </c>
      <c r="BO53" s="154"/>
      <c r="BP53" s="154"/>
      <c r="BQ53" s="154"/>
      <c r="BR53" s="155">
        <f t="shared" si="19"/>
        <v>1130279.35</v>
      </c>
      <c r="BS53" s="198">
        <v>3513.49</v>
      </c>
      <c r="BT53" s="199">
        <v>4128</v>
      </c>
      <c r="BU53" s="20">
        <f t="shared" si="20"/>
        <v>-249917.13400000008</v>
      </c>
      <c r="BV53" s="231">
        <v>832974.94</v>
      </c>
      <c r="BW53" s="229"/>
      <c r="BX53" s="230"/>
    </row>
    <row r="54" spans="1:76" ht="15.75" customHeight="1">
      <c r="A54" s="1">
        <v>47</v>
      </c>
      <c r="B54" s="1" t="s">
        <v>44</v>
      </c>
      <c r="C54" s="1">
        <v>802.6</v>
      </c>
      <c r="D54" s="1">
        <v>0</v>
      </c>
      <c r="E54" s="1">
        <f t="shared" si="23"/>
        <v>802.6</v>
      </c>
      <c r="F54" s="2">
        <v>11.12</v>
      </c>
      <c r="G54" s="2">
        <f t="shared" si="0"/>
        <v>8924.912</v>
      </c>
      <c r="H54" s="2">
        <f t="shared" si="11"/>
        <v>53549.472</v>
      </c>
      <c r="I54" s="2">
        <f t="shared" si="12"/>
        <v>11.12</v>
      </c>
      <c r="J54" s="2">
        <f t="shared" si="1"/>
        <v>8924.912</v>
      </c>
      <c r="K54" s="2">
        <f t="shared" si="13"/>
        <v>53549.472</v>
      </c>
      <c r="L54" s="97">
        <f t="shared" si="2"/>
        <v>107098.944</v>
      </c>
      <c r="M54" s="109">
        <v>3.92</v>
      </c>
      <c r="N54" s="89">
        <f t="shared" si="3"/>
        <v>37754.304000000004</v>
      </c>
      <c r="O54" s="64">
        <v>1.46</v>
      </c>
      <c r="P54" s="90">
        <f t="shared" si="4"/>
        <v>14061.552</v>
      </c>
      <c r="Q54" s="64"/>
      <c r="R54" s="90">
        <f t="shared" si="5"/>
        <v>0</v>
      </c>
      <c r="S54" s="64"/>
      <c r="T54" s="91">
        <f t="shared" si="6"/>
        <v>0</v>
      </c>
      <c r="U54" s="64">
        <v>0.43</v>
      </c>
      <c r="V54" s="90">
        <f t="shared" si="7"/>
        <v>4141.416</v>
      </c>
      <c r="W54" s="96">
        <v>5.76</v>
      </c>
      <c r="X54" s="91">
        <f t="shared" si="8"/>
        <v>55475.712</v>
      </c>
      <c r="Y54" s="110">
        <f t="shared" si="14"/>
        <v>111432.984</v>
      </c>
      <c r="Z54" s="32">
        <v>-157941.82</v>
      </c>
      <c r="AA54" s="12">
        <f t="shared" si="9"/>
        <v>-1.4747280794850788</v>
      </c>
      <c r="AB54" s="25">
        <f t="shared" si="10"/>
        <v>-50842.876000000004</v>
      </c>
      <c r="AC54" s="44"/>
      <c r="AD54" s="8">
        <f t="shared" si="15"/>
        <v>-50842.876000000004</v>
      </c>
      <c r="AE54" s="167">
        <v>28956.864</v>
      </c>
      <c r="AF54" s="168">
        <v>969.7693657451731</v>
      </c>
      <c r="AG54" s="168">
        <v>1443.3026342548271</v>
      </c>
      <c r="AH54" s="168">
        <v>11637.232388942077</v>
      </c>
      <c r="AI54" s="168">
        <v>17319.631611057925</v>
      </c>
      <c r="AJ54" s="59" t="s">
        <v>299</v>
      </c>
      <c r="AK54" s="26" t="s">
        <v>352</v>
      </c>
      <c r="AL54" s="45">
        <v>17509.38</v>
      </c>
      <c r="AM54" s="45">
        <v>2421.1</v>
      </c>
      <c r="AN54" s="2">
        <v>1211.22</v>
      </c>
      <c r="AO54" s="2">
        <v>20918.25</v>
      </c>
      <c r="AP54" s="1">
        <v>0</v>
      </c>
      <c r="AQ54" s="1">
        <v>2421.1</v>
      </c>
      <c r="AR54" s="24">
        <v>0</v>
      </c>
      <c r="AS54" s="24">
        <v>39299.96</v>
      </c>
      <c r="AT54" s="1">
        <v>0</v>
      </c>
      <c r="AU54" s="1">
        <v>2492.75</v>
      </c>
      <c r="AV54" s="24">
        <v>60030.36</v>
      </c>
      <c r="AW54" s="24">
        <v>2421.1</v>
      </c>
      <c r="AX54" s="45">
        <v>0</v>
      </c>
      <c r="AY54" s="45">
        <v>2421.1</v>
      </c>
      <c r="AZ54" s="24">
        <v>0</v>
      </c>
      <c r="BA54" s="24">
        <v>2421.1</v>
      </c>
      <c r="BB54" s="24">
        <v>0</v>
      </c>
      <c r="BC54" s="24">
        <v>6328.46</v>
      </c>
      <c r="BD54" s="24">
        <v>0</v>
      </c>
      <c r="BE54" s="24">
        <v>2421.1</v>
      </c>
      <c r="BF54" s="24">
        <v>0</v>
      </c>
      <c r="BG54" s="24">
        <v>6961.62</v>
      </c>
      <c r="BH54" s="24">
        <v>26000</v>
      </c>
      <c r="BI54" s="24">
        <v>2421.1</v>
      </c>
      <c r="BJ54" s="9">
        <f t="shared" si="16"/>
        <v>104750.96</v>
      </c>
      <c r="BK54" s="9">
        <f t="shared" si="17"/>
        <v>92948.74000000003</v>
      </c>
      <c r="BL54" s="153">
        <f t="shared" si="18"/>
        <v>197699.70000000004</v>
      </c>
      <c r="BM54" s="154"/>
      <c r="BN54" s="154"/>
      <c r="BO54" s="154"/>
      <c r="BP54" s="154"/>
      <c r="BQ54" s="154"/>
      <c r="BR54" s="155">
        <f t="shared" si="19"/>
        <v>197699.70000000004</v>
      </c>
      <c r="BS54" s="198">
        <v>2343.59</v>
      </c>
      <c r="BT54" s="199">
        <v>4128</v>
      </c>
      <c r="BU54" s="20">
        <f t="shared" si="20"/>
        <v>-246198.98600000006</v>
      </c>
      <c r="BV54" s="231">
        <v>89893.66</v>
      </c>
      <c r="BW54" s="229"/>
      <c r="BX54" s="230"/>
    </row>
    <row r="55" spans="1:76" ht="15.75" customHeight="1">
      <c r="A55" s="1">
        <v>48</v>
      </c>
      <c r="B55" s="1" t="s">
        <v>45</v>
      </c>
      <c r="C55" s="1">
        <v>292.3</v>
      </c>
      <c r="D55" s="1">
        <v>0</v>
      </c>
      <c r="E55" s="1">
        <f t="shared" si="23"/>
        <v>292.3</v>
      </c>
      <c r="F55" s="2">
        <v>6.73</v>
      </c>
      <c r="G55" s="2">
        <f t="shared" si="0"/>
        <v>1967.1790000000003</v>
      </c>
      <c r="H55" s="2">
        <f t="shared" si="11"/>
        <v>11803.074000000002</v>
      </c>
      <c r="I55" s="2">
        <f t="shared" si="12"/>
        <v>6.73</v>
      </c>
      <c r="J55" s="2">
        <f t="shared" si="1"/>
        <v>1967.1790000000003</v>
      </c>
      <c r="K55" s="2">
        <f t="shared" si="13"/>
        <v>11803.074000000002</v>
      </c>
      <c r="L55" s="97">
        <f t="shared" si="2"/>
        <v>23606.148000000005</v>
      </c>
      <c r="M55" s="109">
        <v>3.92</v>
      </c>
      <c r="N55" s="89">
        <f t="shared" si="3"/>
        <v>13749.792000000001</v>
      </c>
      <c r="O55" s="64">
        <v>1.46</v>
      </c>
      <c r="P55" s="90">
        <f t="shared" si="4"/>
        <v>5121.096</v>
      </c>
      <c r="Q55" s="64"/>
      <c r="R55" s="90">
        <f t="shared" si="5"/>
        <v>0</v>
      </c>
      <c r="S55" s="64"/>
      <c r="T55" s="91">
        <f t="shared" si="6"/>
        <v>0</v>
      </c>
      <c r="U55" s="64">
        <v>0</v>
      </c>
      <c r="V55" s="90">
        <f t="shared" si="7"/>
        <v>0</v>
      </c>
      <c r="W55" s="96">
        <v>3.01</v>
      </c>
      <c r="X55" s="91">
        <f t="shared" si="8"/>
        <v>10557.876</v>
      </c>
      <c r="Y55" s="110">
        <f t="shared" si="14"/>
        <v>29428.764</v>
      </c>
      <c r="Z55" s="32">
        <v>-50439.02</v>
      </c>
      <c r="AA55" s="12">
        <f t="shared" si="9"/>
        <v>-2.136689984321033</v>
      </c>
      <c r="AB55" s="25">
        <f t="shared" si="10"/>
        <v>-26832.871999999992</v>
      </c>
      <c r="AC55" s="44"/>
      <c r="AD55" s="8">
        <f t="shared" si="15"/>
        <v>-26832.871999999992</v>
      </c>
      <c r="AE55" s="167">
        <v>9540.672</v>
      </c>
      <c r="AF55" s="168">
        <v>192.5076123641655</v>
      </c>
      <c r="AG55" s="168">
        <v>602.5483876358345</v>
      </c>
      <c r="AH55" s="168">
        <v>2310.091348369986</v>
      </c>
      <c r="AI55" s="168">
        <v>7230.5806516300145</v>
      </c>
      <c r="AJ55" s="59" t="s">
        <v>296</v>
      </c>
      <c r="AK55" s="26" t="s">
        <v>352</v>
      </c>
      <c r="AL55" s="45">
        <v>0</v>
      </c>
      <c r="AM55" s="45">
        <v>797.98</v>
      </c>
      <c r="AN55" s="2">
        <v>0</v>
      </c>
      <c r="AO55" s="2">
        <v>797.98</v>
      </c>
      <c r="AP55" s="1">
        <v>0</v>
      </c>
      <c r="AQ55" s="1">
        <v>797.98</v>
      </c>
      <c r="AR55" s="24">
        <v>0</v>
      </c>
      <c r="AS55" s="24">
        <v>1496.48</v>
      </c>
      <c r="AT55" s="1">
        <v>0</v>
      </c>
      <c r="AU55" s="1">
        <v>797.98</v>
      </c>
      <c r="AV55" s="24">
        <v>0</v>
      </c>
      <c r="AW55" s="24">
        <v>797.98</v>
      </c>
      <c r="AX55" s="45">
        <v>0</v>
      </c>
      <c r="AY55" s="45">
        <v>797.98</v>
      </c>
      <c r="AZ55" s="24">
        <v>0</v>
      </c>
      <c r="BA55" s="24">
        <v>797.98</v>
      </c>
      <c r="BB55" s="24">
        <v>0</v>
      </c>
      <c r="BC55" s="24">
        <v>797.98</v>
      </c>
      <c r="BD55" s="24">
        <v>0</v>
      </c>
      <c r="BE55" s="24">
        <v>797.98</v>
      </c>
      <c r="BF55" s="24">
        <v>0</v>
      </c>
      <c r="BG55" s="24">
        <v>1623.98</v>
      </c>
      <c r="BH55" s="24">
        <v>0</v>
      </c>
      <c r="BI55" s="24">
        <v>797.98</v>
      </c>
      <c r="BJ55" s="9">
        <f t="shared" si="16"/>
        <v>0</v>
      </c>
      <c r="BK55" s="9">
        <f t="shared" si="17"/>
        <v>11100.259999999997</v>
      </c>
      <c r="BL55" s="153">
        <f t="shared" si="18"/>
        <v>11100.259999999997</v>
      </c>
      <c r="BM55" s="154"/>
      <c r="BN55" s="154"/>
      <c r="BO55" s="154"/>
      <c r="BP55" s="154"/>
      <c r="BQ55" s="154"/>
      <c r="BR55" s="155">
        <f t="shared" si="19"/>
        <v>11100.259999999997</v>
      </c>
      <c r="BS55" s="154">
        <f>841.82+853.52</f>
        <v>1695.3400000000001</v>
      </c>
      <c r="BT55" s="199"/>
      <c r="BU55" s="20">
        <f t="shared" si="20"/>
        <v>-36237.79199999999</v>
      </c>
      <c r="BV55" s="231">
        <v>186432.41</v>
      </c>
      <c r="BW55" s="229"/>
      <c r="BX55" s="230"/>
    </row>
    <row r="56" spans="1:76" ht="15.75" customHeight="1">
      <c r="A56" s="1">
        <v>49</v>
      </c>
      <c r="B56" s="1" t="s">
        <v>46</v>
      </c>
      <c r="C56" s="1">
        <v>461.4</v>
      </c>
      <c r="D56" s="1">
        <v>0</v>
      </c>
      <c r="E56" s="1">
        <f t="shared" si="23"/>
        <v>461.4</v>
      </c>
      <c r="F56" s="2">
        <v>8.94</v>
      </c>
      <c r="G56" s="2">
        <f t="shared" si="0"/>
        <v>4124.915999999999</v>
      </c>
      <c r="H56" s="2">
        <f t="shared" si="11"/>
        <v>24749.495999999996</v>
      </c>
      <c r="I56" s="2">
        <f t="shared" si="12"/>
        <v>8.94</v>
      </c>
      <c r="J56" s="2">
        <f t="shared" si="1"/>
        <v>4124.915999999999</v>
      </c>
      <c r="K56" s="2">
        <f t="shared" si="13"/>
        <v>24749.495999999996</v>
      </c>
      <c r="L56" s="97">
        <f t="shared" si="2"/>
        <v>49498.99199999999</v>
      </c>
      <c r="M56" s="109">
        <v>3.92</v>
      </c>
      <c r="N56" s="89">
        <f t="shared" si="3"/>
        <v>21704.255999999998</v>
      </c>
      <c r="O56" s="64">
        <v>1.46</v>
      </c>
      <c r="P56" s="90">
        <f t="shared" si="4"/>
        <v>8083.728</v>
      </c>
      <c r="Q56" s="64"/>
      <c r="R56" s="90">
        <f t="shared" si="5"/>
        <v>0</v>
      </c>
      <c r="S56" s="64"/>
      <c r="T56" s="91">
        <f t="shared" si="6"/>
        <v>0</v>
      </c>
      <c r="U56" s="64">
        <v>0</v>
      </c>
      <c r="V56" s="90">
        <f t="shared" si="7"/>
        <v>0</v>
      </c>
      <c r="W56" s="96"/>
      <c r="X56" s="91">
        <f t="shared" si="8"/>
        <v>0</v>
      </c>
      <c r="Y56" s="110">
        <f t="shared" si="14"/>
        <v>29787.983999999997</v>
      </c>
      <c r="Z56" s="32">
        <v>-9871.7</v>
      </c>
      <c r="AA56" s="12">
        <f t="shared" si="9"/>
        <v>-0.19943234399601517</v>
      </c>
      <c r="AB56" s="25">
        <f t="shared" si="10"/>
        <v>39627.29199999999</v>
      </c>
      <c r="AC56" s="44"/>
      <c r="AD56" s="8">
        <f t="shared" si="15"/>
        <v>39627.29199999999</v>
      </c>
      <c r="AE56" s="167">
        <v>17820.096</v>
      </c>
      <c r="AF56" s="168">
        <v>0</v>
      </c>
      <c r="AG56" s="168">
        <v>3302.2743333333324</v>
      </c>
      <c r="AH56" s="168">
        <v>0</v>
      </c>
      <c r="AI56" s="168">
        <v>39627.29199999999</v>
      </c>
      <c r="AJ56" s="59" t="s">
        <v>299</v>
      </c>
      <c r="AK56" s="58"/>
      <c r="AL56" s="45">
        <v>0</v>
      </c>
      <c r="AM56" s="45">
        <v>3793.34</v>
      </c>
      <c r="AN56" s="2">
        <v>0</v>
      </c>
      <c r="AO56" s="2">
        <v>1489.62</v>
      </c>
      <c r="AP56" s="1">
        <v>0</v>
      </c>
      <c r="AQ56" s="1">
        <v>1489.62</v>
      </c>
      <c r="AR56" s="24">
        <v>0</v>
      </c>
      <c r="AS56" s="24">
        <v>2188.12</v>
      </c>
      <c r="AT56" s="1">
        <v>0</v>
      </c>
      <c r="AU56" s="1">
        <v>1489.62</v>
      </c>
      <c r="AV56" s="24">
        <v>0</v>
      </c>
      <c r="AW56" s="24">
        <v>1489.62</v>
      </c>
      <c r="AX56" s="45">
        <v>0</v>
      </c>
      <c r="AY56" s="45">
        <v>1259.62</v>
      </c>
      <c r="AZ56" s="24">
        <v>0</v>
      </c>
      <c r="BA56" s="24">
        <v>1259.62</v>
      </c>
      <c r="BB56" s="24">
        <v>0</v>
      </c>
      <c r="BC56" s="24">
        <v>1259.62</v>
      </c>
      <c r="BD56" s="24">
        <v>0</v>
      </c>
      <c r="BE56" s="24">
        <v>1259.62</v>
      </c>
      <c r="BF56" s="24">
        <v>0</v>
      </c>
      <c r="BG56" s="24">
        <v>2085.62</v>
      </c>
      <c r="BH56" s="24">
        <v>0</v>
      </c>
      <c r="BI56" s="24">
        <v>1259.62</v>
      </c>
      <c r="BJ56" s="9">
        <f t="shared" si="16"/>
        <v>0</v>
      </c>
      <c r="BK56" s="9">
        <f t="shared" si="17"/>
        <v>20323.659999999993</v>
      </c>
      <c r="BL56" s="153">
        <f t="shared" si="18"/>
        <v>20323.659999999993</v>
      </c>
      <c r="BM56" s="154"/>
      <c r="BN56" s="154"/>
      <c r="BO56" s="154"/>
      <c r="BP56" s="154"/>
      <c r="BQ56" s="154"/>
      <c r="BR56" s="155">
        <f t="shared" si="19"/>
        <v>20323.659999999993</v>
      </c>
      <c r="BS56" s="154">
        <f>1328.83</f>
        <v>1328.83</v>
      </c>
      <c r="BT56" s="199"/>
      <c r="BU56" s="20">
        <f t="shared" si="20"/>
        <v>20632.461999999992</v>
      </c>
      <c r="BV56" s="231">
        <v>49294.45</v>
      </c>
      <c r="BW56" s="229"/>
      <c r="BX56" s="230"/>
    </row>
    <row r="57" spans="1:76" ht="15.75" customHeight="1">
      <c r="A57" s="1">
        <v>50</v>
      </c>
      <c r="B57" s="1" t="s">
        <v>47</v>
      </c>
      <c r="C57" s="1">
        <v>3397.9</v>
      </c>
      <c r="D57" s="1">
        <v>142.4</v>
      </c>
      <c r="E57" s="1">
        <f t="shared" si="23"/>
        <v>3540.3</v>
      </c>
      <c r="F57" s="2">
        <v>15.7</v>
      </c>
      <c r="G57" s="2">
        <f t="shared" si="0"/>
        <v>55582.71</v>
      </c>
      <c r="H57" s="2">
        <f t="shared" si="11"/>
        <v>333496.26</v>
      </c>
      <c r="I57" s="2">
        <f t="shared" si="12"/>
        <v>15.7</v>
      </c>
      <c r="J57" s="2">
        <f t="shared" si="1"/>
        <v>55582.71</v>
      </c>
      <c r="K57" s="2">
        <f t="shared" si="13"/>
        <v>333496.26</v>
      </c>
      <c r="L57" s="97">
        <f t="shared" si="2"/>
        <v>666992.52</v>
      </c>
      <c r="M57" s="109">
        <v>3.92</v>
      </c>
      <c r="N57" s="89">
        <f t="shared" si="3"/>
        <v>166535.712</v>
      </c>
      <c r="O57" s="64">
        <v>1.46</v>
      </c>
      <c r="P57" s="90">
        <f t="shared" si="4"/>
        <v>62026.056</v>
      </c>
      <c r="Q57" s="64"/>
      <c r="R57" s="90">
        <f t="shared" si="5"/>
        <v>0</v>
      </c>
      <c r="S57" s="64"/>
      <c r="T57" s="91">
        <f t="shared" si="6"/>
        <v>0</v>
      </c>
      <c r="U57" s="64">
        <v>0.52</v>
      </c>
      <c r="V57" s="90">
        <f t="shared" si="7"/>
        <v>22091.472</v>
      </c>
      <c r="W57" s="96"/>
      <c r="X57" s="91">
        <f t="shared" si="8"/>
        <v>0</v>
      </c>
      <c r="Y57" s="110">
        <f t="shared" si="14"/>
        <v>250653.24</v>
      </c>
      <c r="Z57" s="32"/>
      <c r="AA57" s="12">
        <f t="shared" si="9"/>
        <v>0</v>
      </c>
      <c r="AB57" s="25">
        <f t="shared" si="10"/>
        <v>666992.52</v>
      </c>
      <c r="AC57" s="44"/>
      <c r="AD57" s="8">
        <f t="shared" si="15"/>
        <v>666992.52</v>
      </c>
      <c r="AE57" s="167">
        <v>231321.76800000004</v>
      </c>
      <c r="AF57" s="168">
        <v>32332.159693459358</v>
      </c>
      <c r="AG57" s="168">
        <v>23250.550306540637</v>
      </c>
      <c r="AH57" s="168">
        <v>387985.9163215123</v>
      </c>
      <c r="AI57" s="168">
        <v>279006.60367848765</v>
      </c>
      <c r="AJ57" s="59"/>
      <c r="AK57" s="59"/>
      <c r="AL57" s="45">
        <v>12082.3</v>
      </c>
      <c r="AM57" s="45">
        <v>107771.85</v>
      </c>
      <c r="AN57" s="2">
        <v>83156.38</v>
      </c>
      <c r="AO57" s="2">
        <v>112020.1</v>
      </c>
      <c r="AP57" s="1">
        <v>45449.72</v>
      </c>
      <c r="AQ57" s="1">
        <v>18536.71</v>
      </c>
      <c r="AR57" s="24">
        <v>69241.5</v>
      </c>
      <c r="AS57" s="24">
        <v>27319.03</v>
      </c>
      <c r="AT57" s="1">
        <v>73557.43</v>
      </c>
      <c r="AU57" s="1">
        <v>17647.39</v>
      </c>
      <c r="AV57" s="24">
        <v>27042.8</v>
      </c>
      <c r="AW57" s="24">
        <v>12840.28</v>
      </c>
      <c r="AX57" s="45">
        <v>801282.44</v>
      </c>
      <c r="AY57" s="45">
        <v>12311.56</v>
      </c>
      <c r="AZ57" s="24">
        <v>30493.9</v>
      </c>
      <c r="BA57" s="24">
        <v>20084.2</v>
      </c>
      <c r="BB57" s="24">
        <v>14689.76</v>
      </c>
      <c r="BC57" s="24">
        <v>25480.69</v>
      </c>
      <c r="BD57" s="24">
        <v>8211.22</v>
      </c>
      <c r="BE57" s="24">
        <v>32551</v>
      </c>
      <c r="BF57" s="24">
        <v>22016.14</v>
      </c>
      <c r="BG57" s="24">
        <v>23476.21</v>
      </c>
      <c r="BH57" s="24">
        <v>30128.68</v>
      </c>
      <c r="BI57" s="24">
        <v>14339.85</v>
      </c>
      <c r="BJ57" s="9">
        <f t="shared" si="16"/>
        <v>1217352.2699999996</v>
      </c>
      <c r="BK57" s="9">
        <f t="shared" si="17"/>
        <v>424378.87000000005</v>
      </c>
      <c r="BL57" s="153">
        <f t="shared" si="18"/>
        <v>1641731.1399999997</v>
      </c>
      <c r="BM57" s="154"/>
      <c r="BN57" s="154">
        <f>336007.07-223650.83</f>
        <v>112356.24000000002</v>
      </c>
      <c r="BO57" s="154"/>
      <c r="BP57" s="154"/>
      <c r="BQ57" s="154"/>
      <c r="BR57" s="155">
        <f t="shared" si="19"/>
        <v>1754087.3799999997</v>
      </c>
      <c r="BS57" s="198">
        <v>2583.98</v>
      </c>
      <c r="BT57" s="199">
        <v>4128</v>
      </c>
      <c r="BU57" s="20">
        <f t="shared" si="20"/>
        <v>-1084510.8799999997</v>
      </c>
      <c r="BV57" s="231">
        <v>295258.64</v>
      </c>
      <c r="BW57" s="229"/>
      <c r="BX57" s="230"/>
    </row>
    <row r="58" spans="1:76" ht="15.75" customHeight="1">
      <c r="A58" s="1">
        <v>51</v>
      </c>
      <c r="B58" s="1" t="s">
        <v>48</v>
      </c>
      <c r="C58" s="1">
        <v>516.5</v>
      </c>
      <c r="D58" s="1">
        <v>0</v>
      </c>
      <c r="E58" s="1">
        <f t="shared" si="23"/>
        <v>516.5</v>
      </c>
      <c r="F58" s="2">
        <v>8.9</v>
      </c>
      <c r="G58" s="2">
        <f t="shared" si="0"/>
        <v>4596.85</v>
      </c>
      <c r="H58" s="2">
        <f t="shared" si="11"/>
        <v>27581.100000000002</v>
      </c>
      <c r="I58" s="2">
        <f t="shared" si="12"/>
        <v>8.9</v>
      </c>
      <c r="J58" s="2">
        <f t="shared" si="1"/>
        <v>4596.85</v>
      </c>
      <c r="K58" s="2">
        <f t="shared" si="13"/>
        <v>27581.100000000002</v>
      </c>
      <c r="L58" s="97">
        <f t="shared" si="2"/>
        <v>55162.200000000004</v>
      </c>
      <c r="M58" s="109">
        <v>3.92</v>
      </c>
      <c r="N58" s="89">
        <f t="shared" si="3"/>
        <v>24296.16</v>
      </c>
      <c r="O58" s="64"/>
      <c r="P58" s="90">
        <f t="shared" si="4"/>
        <v>0</v>
      </c>
      <c r="Q58" s="64"/>
      <c r="R58" s="90">
        <f t="shared" si="5"/>
        <v>0</v>
      </c>
      <c r="S58" s="64"/>
      <c r="T58" s="91">
        <f t="shared" si="6"/>
        <v>0</v>
      </c>
      <c r="U58" s="64">
        <v>0</v>
      </c>
      <c r="V58" s="90">
        <f t="shared" si="7"/>
        <v>0</v>
      </c>
      <c r="W58" s="96"/>
      <c r="X58" s="91">
        <f t="shared" si="8"/>
        <v>0</v>
      </c>
      <c r="Y58" s="110">
        <f t="shared" si="14"/>
        <v>24296.16</v>
      </c>
      <c r="Z58" s="32"/>
      <c r="AA58" s="12">
        <f t="shared" si="9"/>
        <v>0</v>
      </c>
      <c r="AB58" s="25">
        <f t="shared" si="10"/>
        <v>55162.200000000004</v>
      </c>
      <c r="AC58" s="44"/>
      <c r="AD58" s="8">
        <f t="shared" si="15"/>
        <v>55162.200000000004</v>
      </c>
      <c r="AE58" s="167">
        <v>16858.56</v>
      </c>
      <c r="AF58" s="168">
        <v>997.1475054229935</v>
      </c>
      <c r="AG58" s="168">
        <v>3599.7024945770067</v>
      </c>
      <c r="AH58" s="168">
        <v>11965.770065075922</v>
      </c>
      <c r="AI58" s="168">
        <v>43196.42993492408</v>
      </c>
      <c r="AJ58" s="59"/>
      <c r="AK58" s="59"/>
      <c r="AL58" s="45">
        <v>0</v>
      </c>
      <c r="AM58" s="45">
        <v>1410.05</v>
      </c>
      <c r="AN58" s="2">
        <v>3907.32</v>
      </c>
      <c r="AO58" s="2">
        <v>1410.05</v>
      </c>
      <c r="AP58" s="1">
        <v>0</v>
      </c>
      <c r="AQ58" s="1">
        <v>2743.24</v>
      </c>
      <c r="AR58" s="24">
        <v>0</v>
      </c>
      <c r="AS58" s="24">
        <v>2108.55</v>
      </c>
      <c r="AT58" s="1">
        <v>0</v>
      </c>
      <c r="AU58" s="1">
        <v>1410.05</v>
      </c>
      <c r="AV58" s="24">
        <v>0</v>
      </c>
      <c r="AW58" s="24">
        <v>1410.05</v>
      </c>
      <c r="AX58" s="45">
        <v>0</v>
      </c>
      <c r="AY58" s="45">
        <v>1410.05</v>
      </c>
      <c r="AZ58" s="24">
        <v>0</v>
      </c>
      <c r="BA58" s="24">
        <v>1410.05</v>
      </c>
      <c r="BB58" s="24">
        <v>0</v>
      </c>
      <c r="BC58" s="24">
        <v>1410.05</v>
      </c>
      <c r="BD58" s="24">
        <v>0</v>
      </c>
      <c r="BE58" s="24">
        <v>1410.05</v>
      </c>
      <c r="BF58" s="24">
        <v>0</v>
      </c>
      <c r="BG58" s="24">
        <v>2236.05</v>
      </c>
      <c r="BH58" s="24">
        <v>0</v>
      </c>
      <c r="BI58" s="24">
        <v>1410.05</v>
      </c>
      <c r="BJ58" s="9">
        <f t="shared" si="16"/>
        <v>3907.32</v>
      </c>
      <c r="BK58" s="9">
        <f t="shared" si="17"/>
        <v>19778.289999999997</v>
      </c>
      <c r="BL58" s="153">
        <f t="shared" si="18"/>
        <v>23685.609999999997</v>
      </c>
      <c r="BM58" s="154"/>
      <c r="BN58" s="154"/>
      <c r="BO58" s="154"/>
      <c r="BP58" s="154"/>
      <c r="BQ58" s="154"/>
      <c r="BR58" s="155">
        <f t="shared" si="19"/>
        <v>23685.609999999997</v>
      </c>
      <c r="BS58" s="198"/>
      <c r="BT58" s="199"/>
      <c r="BU58" s="20">
        <f t="shared" si="20"/>
        <v>31476.590000000007</v>
      </c>
      <c r="BV58" s="231">
        <v>281903.31</v>
      </c>
      <c r="BW58" s="229"/>
      <c r="BX58" s="230"/>
    </row>
    <row r="59" spans="1:76" ht="15.75" customHeight="1">
      <c r="A59" s="1">
        <v>52</v>
      </c>
      <c r="B59" s="1" t="s">
        <v>49</v>
      </c>
      <c r="C59" s="1">
        <v>508.5</v>
      </c>
      <c r="D59" s="1">
        <v>0</v>
      </c>
      <c r="E59" s="1">
        <f t="shared" si="23"/>
        <v>508.5</v>
      </c>
      <c r="F59" s="2">
        <v>8.9</v>
      </c>
      <c r="G59" s="2">
        <f t="shared" si="0"/>
        <v>4525.650000000001</v>
      </c>
      <c r="H59" s="2">
        <f t="shared" si="11"/>
        <v>27153.9</v>
      </c>
      <c r="I59" s="2">
        <f t="shared" si="12"/>
        <v>8.9</v>
      </c>
      <c r="J59" s="2">
        <f t="shared" si="1"/>
        <v>4525.650000000001</v>
      </c>
      <c r="K59" s="2">
        <f t="shared" si="13"/>
        <v>27153.9</v>
      </c>
      <c r="L59" s="97">
        <f t="shared" si="2"/>
        <v>54307.8</v>
      </c>
      <c r="M59" s="109">
        <v>3.92</v>
      </c>
      <c r="N59" s="89">
        <f t="shared" si="3"/>
        <v>23919.84</v>
      </c>
      <c r="O59" s="64"/>
      <c r="P59" s="90">
        <f t="shared" si="4"/>
        <v>0</v>
      </c>
      <c r="Q59" s="64"/>
      <c r="R59" s="90">
        <f t="shared" si="5"/>
        <v>0</v>
      </c>
      <c r="S59" s="64"/>
      <c r="T59" s="91">
        <f t="shared" si="6"/>
        <v>0</v>
      </c>
      <c r="U59" s="64">
        <v>0</v>
      </c>
      <c r="V59" s="90">
        <f t="shared" si="7"/>
        <v>0</v>
      </c>
      <c r="W59" s="96"/>
      <c r="X59" s="91">
        <f t="shared" si="8"/>
        <v>0</v>
      </c>
      <c r="Y59" s="110">
        <f t="shared" si="14"/>
        <v>23919.84</v>
      </c>
      <c r="Z59" s="32"/>
      <c r="AA59" s="12">
        <f t="shared" si="9"/>
        <v>0</v>
      </c>
      <c r="AB59" s="25">
        <f t="shared" si="10"/>
        <v>54307.8</v>
      </c>
      <c r="AC59" s="44"/>
      <c r="AD59" s="8">
        <f t="shared" si="15"/>
        <v>54307.8</v>
      </c>
      <c r="AE59" s="167">
        <v>16597.440000000002</v>
      </c>
      <c r="AF59" s="168">
        <v>5223.512990099563</v>
      </c>
      <c r="AG59" s="168">
        <v>-697.862990099562</v>
      </c>
      <c r="AH59" s="168">
        <v>62682.15588119475</v>
      </c>
      <c r="AI59" s="168">
        <v>-8374.355881194744</v>
      </c>
      <c r="AJ59" s="59"/>
      <c r="AK59" s="59"/>
      <c r="AL59" s="45">
        <v>0</v>
      </c>
      <c r="AM59" s="45">
        <v>1383.56</v>
      </c>
      <c r="AN59" s="2">
        <v>0</v>
      </c>
      <c r="AO59" s="2">
        <v>1383.56</v>
      </c>
      <c r="AP59" s="1">
        <v>0</v>
      </c>
      <c r="AQ59" s="1">
        <v>1383.56</v>
      </c>
      <c r="AR59" s="24">
        <v>0</v>
      </c>
      <c r="AS59" s="24">
        <v>2082.06</v>
      </c>
      <c r="AT59" s="1">
        <v>0</v>
      </c>
      <c r="AU59" s="1">
        <v>1383.56</v>
      </c>
      <c r="AV59" s="24">
        <v>0</v>
      </c>
      <c r="AW59" s="24">
        <v>3427.54</v>
      </c>
      <c r="AX59" s="45">
        <v>0</v>
      </c>
      <c r="AY59" s="45">
        <v>1383.56</v>
      </c>
      <c r="AZ59" s="24">
        <v>0</v>
      </c>
      <c r="BA59" s="24">
        <v>1383.56</v>
      </c>
      <c r="BB59" s="24">
        <v>0</v>
      </c>
      <c r="BC59" s="24">
        <v>1383.56</v>
      </c>
      <c r="BD59" s="24">
        <v>0</v>
      </c>
      <c r="BE59" s="24">
        <v>1383.56</v>
      </c>
      <c r="BF59" s="24">
        <v>0</v>
      </c>
      <c r="BG59" s="24">
        <v>2209.56</v>
      </c>
      <c r="BH59" s="24">
        <v>0</v>
      </c>
      <c r="BI59" s="24">
        <v>1383.56</v>
      </c>
      <c r="BJ59" s="9">
        <f t="shared" si="16"/>
        <v>0</v>
      </c>
      <c r="BK59" s="9">
        <f t="shared" si="17"/>
        <v>20171.2</v>
      </c>
      <c r="BL59" s="153">
        <f t="shared" si="18"/>
        <v>20171.2</v>
      </c>
      <c r="BM59" s="154"/>
      <c r="BN59" s="154"/>
      <c r="BO59" s="154"/>
      <c r="BP59" s="154"/>
      <c r="BQ59" s="154"/>
      <c r="BR59" s="155">
        <f t="shared" si="19"/>
        <v>20171.2</v>
      </c>
      <c r="BS59" s="198"/>
      <c r="BT59" s="199"/>
      <c r="BU59" s="20">
        <f t="shared" si="20"/>
        <v>34136.600000000006</v>
      </c>
      <c r="BV59" s="231">
        <v>157516.78</v>
      </c>
      <c r="BW59" s="229"/>
      <c r="BX59" s="230"/>
    </row>
    <row r="60" spans="1:76" ht="15.75" customHeight="1">
      <c r="A60" s="1">
        <v>53</v>
      </c>
      <c r="B60" s="1" t="s">
        <v>50</v>
      </c>
      <c r="C60" s="1">
        <v>128.4</v>
      </c>
      <c r="D60" s="1">
        <v>0</v>
      </c>
      <c r="E60" s="1">
        <f t="shared" si="23"/>
        <v>128.4</v>
      </c>
      <c r="F60" s="2">
        <v>6.48</v>
      </c>
      <c r="G60" s="2">
        <f aca="true" t="shared" si="24" ref="G60:G118">E60*F60</f>
        <v>832.032</v>
      </c>
      <c r="H60" s="2">
        <f t="shared" si="11"/>
        <v>4992.192</v>
      </c>
      <c r="I60" s="2">
        <f t="shared" si="12"/>
        <v>6.48</v>
      </c>
      <c r="J60" s="2">
        <f t="shared" si="1"/>
        <v>832.032</v>
      </c>
      <c r="K60" s="2">
        <f t="shared" si="13"/>
        <v>4992.192</v>
      </c>
      <c r="L60" s="97">
        <f t="shared" si="2"/>
        <v>9984.384</v>
      </c>
      <c r="M60" s="109">
        <v>3.92</v>
      </c>
      <c r="N60" s="89">
        <f t="shared" si="3"/>
        <v>6039.936000000001</v>
      </c>
      <c r="O60" s="64"/>
      <c r="P60" s="90">
        <f t="shared" si="4"/>
        <v>0</v>
      </c>
      <c r="Q60" s="64"/>
      <c r="R60" s="90">
        <f t="shared" si="5"/>
        <v>0</v>
      </c>
      <c r="S60" s="64"/>
      <c r="T60" s="91">
        <f t="shared" si="6"/>
        <v>0</v>
      </c>
      <c r="U60" s="64">
        <v>0</v>
      </c>
      <c r="V60" s="90">
        <f t="shared" si="7"/>
        <v>0</v>
      </c>
      <c r="W60" s="96"/>
      <c r="X60" s="91">
        <f t="shared" si="8"/>
        <v>0</v>
      </c>
      <c r="Y60" s="110">
        <f t="shared" si="14"/>
        <v>6039.936000000001</v>
      </c>
      <c r="Z60" s="32"/>
      <c r="AA60" s="12">
        <f t="shared" si="9"/>
        <v>0</v>
      </c>
      <c r="AB60" s="25">
        <f t="shared" si="10"/>
        <v>9984.384</v>
      </c>
      <c r="AC60" s="44"/>
      <c r="AD60" s="8">
        <f t="shared" si="15"/>
        <v>9984.384</v>
      </c>
      <c r="AE60" s="167">
        <v>4190.976000000001</v>
      </c>
      <c r="AF60" s="168">
        <v>10297.549989223327</v>
      </c>
      <c r="AG60" s="168">
        <v>-9465.51798922333</v>
      </c>
      <c r="AH60" s="168">
        <v>123570.59987067993</v>
      </c>
      <c r="AI60" s="168">
        <v>-113586.21587067995</v>
      </c>
      <c r="AJ60" s="59"/>
      <c r="AK60" s="59"/>
      <c r="AL60" s="45">
        <v>0</v>
      </c>
      <c r="AM60" s="45">
        <v>350.53</v>
      </c>
      <c r="AN60" s="2">
        <v>0</v>
      </c>
      <c r="AO60" s="2">
        <v>350.53</v>
      </c>
      <c r="AP60" s="1">
        <v>0</v>
      </c>
      <c r="AQ60" s="1">
        <v>350.53</v>
      </c>
      <c r="AR60" s="24">
        <v>0</v>
      </c>
      <c r="AS60" s="24">
        <v>1049.03</v>
      </c>
      <c r="AT60" s="1">
        <v>0</v>
      </c>
      <c r="AU60" s="1">
        <v>350.53</v>
      </c>
      <c r="AV60" s="24">
        <v>0</v>
      </c>
      <c r="AW60" s="24">
        <v>350.53</v>
      </c>
      <c r="AX60" s="45">
        <v>0</v>
      </c>
      <c r="AY60" s="45">
        <v>350.53</v>
      </c>
      <c r="AZ60" s="24">
        <v>0</v>
      </c>
      <c r="BA60" s="24">
        <v>350.53</v>
      </c>
      <c r="BB60" s="24">
        <v>0</v>
      </c>
      <c r="BC60" s="24">
        <v>350.53</v>
      </c>
      <c r="BD60" s="24">
        <v>0</v>
      </c>
      <c r="BE60" s="24">
        <v>350.53</v>
      </c>
      <c r="BF60" s="24">
        <v>0</v>
      </c>
      <c r="BG60" s="24">
        <v>1176.53</v>
      </c>
      <c r="BH60" s="24">
        <v>0</v>
      </c>
      <c r="BI60" s="24">
        <v>350.53</v>
      </c>
      <c r="BJ60" s="9">
        <f t="shared" si="16"/>
        <v>0</v>
      </c>
      <c r="BK60" s="9">
        <f t="shared" si="17"/>
        <v>5730.859999999998</v>
      </c>
      <c r="BL60" s="153">
        <f t="shared" si="18"/>
        <v>5730.859999999998</v>
      </c>
      <c r="BM60" s="154"/>
      <c r="BN60" s="154"/>
      <c r="BO60" s="154"/>
      <c r="BP60" s="154"/>
      <c r="BQ60" s="154"/>
      <c r="BR60" s="155">
        <f t="shared" si="19"/>
        <v>5730.859999999998</v>
      </c>
      <c r="BS60" s="198"/>
      <c r="BT60" s="199"/>
      <c r="BU60" s="20">
        <f t="shared" si="20"/>
        <v>4253.524000000002</v>
      </c>
      <c r="BV60" s="231">
        <v>89099.67</v>
      </c>
      <c r="BW60" s="229"/>
      <c r="BX60" s="230"/>
    </row>
    <row r="61" spans="1:76" ht="15.75">
      <c r="A61" s="1">
        <v>54</v>
      </c>
      <c r="B61" s="1" t="s">
        <v>51</v>
      </c>
      <c r="C61" s="1">
        <v>778</v>
      </c>
      <c r="D61" s="1">
        <v>0</v>
      </c>
      <c r="E61" s="1">
        <f t="shared" si="23"/>
        <v>778</v>
      </c>
      <c r="F61" s="2">
        <v>13.23</v>
      </c>
      <c r="G61" s="2">
        <f t="shared" si="24"/>
        <v>10292.94</v>
      </c>
      <c r="H61" s="2">
        <f aca="true" t="shared" si="25" ref="H61:H119">G61*6</f>
        <v>61757.64</v>
      </c>
      <c r="I61" s="2">
        <f t="shared" si="12"/>
        <v>13.23</v>
      </c>
      <c r="J61" s="2">
        <f t="shared" si="1"/>
        <v>10292.94</v>
      </c>
      <c r="K61" s="2">
        <f aca="true" t="shared" si="26" ref="K61:K119">J61*6</f>
        <v>61757.64</v>
      </c>
      <c r="L61" s="97">
        <f aca="true" t="shared" si="27" ref="L61:L119">H61+K61</f>
        <v>123515.28</v>
      </c>
      <c r="M61" s="109">
        <v>3.92</v>
      </c>
      <c r="N61" s="89">
        <f t="shared" si="3"/>
        <v>36597.119999999995</v>
      </c>
      <c r="O61" s="64"/>
      <c r="P61" s="90">
        <f t="shared" si="4"/>
        <v>0</v>
      </c>
      <c r="Q61" s="64">
        <v>0.52</v>
      </c>
      <c r="R61" s="90">
        <f t="shared" si="5"/>
        <v>4854.72</v>
      </c>
      <c r="S61" s="64">
        <v>0.89</v>
      </c>
      <c r="T61" s="91">
        <f t="shared" si="6"/>
        <v>8309.039999999999</v>
      </c>
      <c r="U61" s="64">
        <v>0</v>
      </c>
      <c r="V61" s="90">
        <f t="shared" si="7"/>
        <v>0</v>
      </c>
      <c r="W61" s="96"/>
      <c r="X61" s="91">
        <f t="shared" si="8"/>
        <v>0</v>
      </c>
      <c r="Y61" s="110">
        <f t="shared" si="14"/>
        <v>49760.88</v>
      </c>
      <c r="Z61" s="32">
        <v>-356205.07</v>
      </c>
      <c r="AA61" s="12">
        <f t="shared" si="9"/>
        <v>-2.883894769942634</v>
      </c>
      <c r="AB61" s="25">
        <f t="shared" si="10"/>
        <v>-232689.79</v>
      </c>
      <c r="AC61" s="44"/>
      <c r="AD61" s="8">
        <f aca="true" t="shared" si="28" ref="AD61:AD119">AB61-AC61</f>
        <v>-232689.79</v>
      </c>
      <c r="AE61" s="167">
        <v>28153.920000000006</v>
      </c>
      <c r="AF61" s="168">
        <v>0</v>
      </c>
      <c r="AG61" s="168">
        <v>2346.1600000000003</v>
      </c>
      <c r="AH61" s="168"/>
      <c r="AI61" s="168">
        <v>28153.920000000006</v>
      </c>
      <c r="AJ61" s="59" t="s">
        <v>296</v>
      </c>
      <c r="AK61" s="26" t="s">
        <v>352</v>
      </c>
      <c r="AL61" s="45">
        <v>0</v>
      </c>
      <c r="AM61" s="45">
        <v>2353.94</v>
      </c>
      <c r="AN61" s="2">
        <v>0</v>
      </c>
      <c r="AO61" s="2">
        <v>2353.94</v>
      </c>
      <c r="AP61" s="1">
        <v>0</v>
      </c>
      <c r="AQ61" s="1">
        <v>2353.94</v>
      </c>
      <c r="AR61" s="24">
        <v>0</v>
      </c>
      <c r="AS61" s="24">
        <v>3052.44</v>
      </c>
      <c r="AT61" s="1">
        <v>0</v>
      </c>
      <c r="AU61" s="1">
        <v>2353.94</v>
      </c>
      <c r="AV61" s="24">
        <v>0</v>
      </c>
      <c r="AW61" s="24">
        <v>2353.94</v>
      </c>
      <c r="AX61" s="45">
        <v>0</v>
      </c>
      <c r="AY61" s="45">
        <v>2353.94</v>
      </c>
      <c r="AZ61" s="24">
        <v>0</v>
      </c>
      <c r="BA61" s="24">
        <v>32071.61</v>
      </c>
      <c r="BB61" s="24">
        <v>0</v>
      </c>
      <c r="BC61" s="24">
        <v>99672.64</v>
      </c>
      <c r="BD61" s="24">
        <v>0</v>
      </c>
      <c r="BE61" s="24">
        <v>19068.76</v>
      </c>
      <c r="BF61" s="24">
        <v>0</v>
      </c>
      <c r="BG61" s="24">
        <v>10865.68</v>
      </c>
      <c r="BH61" s="24">
        <v>0</v>
      </c>
      <c r="BI61" s="24">
        <v>5900.44</v>
      </c>
      <c r="BJ61" s="9">
        <f aca="true" t="shared" si="29" ref="BJ61:BJ119">AL61+AN61+AP61+AR61+AT61+AV61+AX61+AZ61+BB61+BD61+BF61+BH61</f>
        <v>0</v>
      </c>
      <c r="BK61" s="9">
        <f aca="true" t="shared" si="30" ref="BK61:BK119">AM61+AO61+AQ61+AS61+AU61+AW61+AY61+BA61+BC61+BE61+BG61+BI61</f>
        <v>184755.21000000002</v>
      </c>
      <c r="BL61" s="153">
        <f aca="true" t="shared" si="31" ref="BL61:BL119">BJ61+BK61</f>
        <v>184755.21000000002</v>
      </c>
      <c r="BM61" s="154"/>
      <c r="BN61" s="154"/>
      <c r="BO61" s="154">
        <v>605.28</v>
      </c>
      <c r="BP61" s="154"/>
      <c r="BQ61" s="154"/>
      <c r="BR61" s="155">
        <f t="shared" si="19"/>
        <v>185360.49000000002</v>
      </c>
      <c r="BS61" s="198"/>
      <c r="BT61" s="199"/>
      <c r="BU61" s="20">
        <f t="shared" si="20"/>
        <v>-418050.28</v>
      </c>
      <c r="BV61" s="231">
        <v>156531.44</v>
      </c>
      <c r="BW61" s="229"/>
      <c r="BX61" s="230"/>
    </row>
    <row r="62" spans="1:76" ht="15.75" customHeight="1">
      <c r="A62" s="1">
        <v>55</v>
      </c>
      <c r="B62" s="1" t="s">
        <v>52</v>
      </c>
      <c r="C62" s="1">
        <v>511.7</v>
      </c>
      <c r="D62" s="1">
        <v>0</v>
      </c>
      <c r="E62" s="1">
        <f t="shared" si="23"/>
        <v>511.7</v>
      </c>
      <c r="F62" s="2">
        <v>8.9</v>
      </c>
      <c r="G62" s="2">
        <f t="shared" si="24"/>
        <v>4554.13</v>
      </c>
      <c r="H62" s="2">
        <f t="shared" si="25"/>
        <v>27324.78</v>
      </c>
      <c r="I62" s="2">
        <f t="shared" si="12"/>
        <v>8.9</v>
      </c>
      <c r="J62" s="2">
        <f t="shared" si="1"/>
        <v>4554.13</v>
      </c>
      <c r="K62" s="2">
        <f t="shared" si="26"/>
        <v>27324.78</v>
      </c>
      <c r="L62" s="97">
        <f t="shared" si="27"/>
        <v>54649.56</v>
      </c>
      <c r="M62" s="109">
        <v>3.92</v>
      </c>
      <c r="N62" s="89">
        <f t="shared" si="3"/>
        <v>24070.368000000002</v>
      </c>
      <c r="O62" s="64"/>
      <c r="P62" s="90">
        <f t="shared" si="4"/>
        <v>0</v>
      </c>
      <c r="Q62" s="64"/>
      <c r="R62" s="90">
        <f t="shared" si="5"/>
        <v>0</v>
      </c>
      <c r="S62" s="64"/>
      <c r="T62" s="91">
        <f t="shared" si="6"/>
        <v>0</v>
      </c>
      <c r="U62" s="64">
        <v>0</v>
      </c>
      <c r="V62" s="90">
        <f t="shared" si="7"/>
        <v>0</v>
      </c>
      <c r="W62" s="96"/>
      <c r="X62" s="91">
        <f t="shared" si="8"/>
        <v>0</v>
      </c>
      <c r="Y62" s="110">
        <f t="shared" si="14"/>
        <v>24070.368000000002</v>
      </c>
      <c r="Z62" s="32"/>
      <c r="AA62" s="12">
        <f t="shared" si="9"/>
        <v>0</v>
      </c>
      <c r="AB62" s="25">
        <f t="shared" si="10"/>
        <v>54649.56</v>
      </c>
      <c r="AC62" s="44"/>
      <c r="AD62" s="8">
        <f t="shared" si="28"/>
        <v>54649.56</v>
      </c>
      <c r="AE62" s="167">
        <v>16701.888</v>
      </c>
      <c r="AF62" s="168">
        <v>1646.2281224679264</v>
      </c>
      <c r="AG62" s="168">
        <v>2907.9018775320733</v>
      </c>
      <c r="AH62" s="168">
        <v>19754.737469615116</v>
      </c>
      <c r="AI62" s="168">
        <v>34894.82253038488</v>
      </c>
      <c r="AJ62" s="59"/>
      <c r="AK62" s="59"/>
      <c r="AL62" s="45">
        <v>0</v>
      </c>
      <c r="AM62" s="45">
        <v>1396.94</v>
      </c>
      <c r="AN62" s="2">
        <v>0</v>
      </c>
      <c r="AO62" s="2">
        <v>1396.94</v>
      </c>
      <c r="AP62" s="1">
        <v>0</v>
      </c>
      <c r="AQ62" s="1">
        <v>1396.94</v>
      </c>
      <c r="AR62" s="24">
        <v>0</v>
      </c>
      <c r="AS62" s="24">
        <v>2095.44</v>
      </c>
      <c r="AT62" s="1">
        <v>0</v>
      </c>
      <c r="AU62" s="1">
        <v>1396.94</v>
      </c>
      <c r="AV62" s="24">
        <v>0</v>
      </c>
      <c r="AW62" s="24">
        <v>1396.94</v>
      </c>
      <c r="AX62" s="45">
        <v>0</v>
      </c>
      <c r="AY62" s="45">
        <v>1396.94</v>
      </c>
      <c r="AZ62" s="24">
        <v>0</v>
      </c>
      <c r="BA62" s="24">
        <v>1396.94</v>
      </c>
      <c r="BB62" s="24">
        <v>0</v>
      </c>
      <c r="BC62" s="24">
        <v>1396.94</v>
      </c>
      <c r="BD62" s="24">
        <v>0</v>
      </c>
      <c r="BE62" s="24">
        <v>1396.94</v>
      </c>
      <c r="BF62" s="24">
        <v>0</v>
      </c>
      <c r="BG62" s="24">
        <v>2222.94</v>
      </c>
      <c r="BH62" s="24">
        <v>0</v>
      </c>
      <c r="BI62" s="24">
        <v>1396.94</v>
      </c>
      <c r="BJ62" s="9">
        <f t="shared" si="29"/>
        <v>0</v>
      </c>
      <c r="BK62" s="9">
        <f t="shared" si="30"/>
        <v>18287.780000000002</v>
      </c>
      <c r="BL62" s="153">
        <f t="shared" si="31"/>
        <v>18287.780000000002</v>
      </c>
      <c r="BM62" s="154"/>
      <c r="BN62" s="154"/>
      <c r="BO62" s="154"/>
      <c r="BP62" s="154"/>
      <c r="BQ62" s="154"/>
      <c r="BR62" s="155">
        <f t="shared" si="19"/>
        <v>18287.780000000002</v>
      </c>
      <c r="BS62" s="198"/>
      <c r="BT62" s="199"/>
      <c r="BU62" s="20">
        <f t="shared" si="20"/>
        <v>36361.78</v>
      </c>
      <c r="BV62" s="231">
        <v>69491.27</v>
      </c>
      <c r="BW62" s="229"/>
      <c r="BX62" s="230"/>
    </row>
    <row r="63" spans="1:76" ht="15.75">
      <c r="A63" s="1">
        <v>56</v>
      </c>
      <c r="B63" s="1" t="s">
        <v>53</v>
      </c>
      <c r="C63" s="1">
        <v>365.2</v>
      </c>
      <c r="D63" s="1">
        <v>0</v>
      </c>
      <c r="E63" s="1">
        <f t="shared" si="23"/>
        <v>365.2</v>
      </c>
      <c r="F63" s="2">
        <v>8.9</v>
      </c>
      <c r="G63" s="2">
        <f t="shared" si="24"/>
        <v>3250.28</v>
      </c>
      <c r="H63" s="2">
        <f t="shared" si="25"/>
        <v>19501.68</v>
      </c>
      <c r="I63" s="2">
        <f t="shared" si="12"/>
        <v>8.9</v>
      </c>
      <c r="J63" s="2">
        <f t="shared" si="1"/>
        <v>3250.28</v>
      </c>
      <c r="K63" s="2">
        <f t="shared" si="26"/>
        <v>19501.68</v>
      </c>
      <c r="L63" s="97">
        <f t="shared" si="27"/>
        <v>39003.36</v>
      </c>
      <c r="M63" s="109">
        <v>3.92</v>
      </c>
      <c r="N63" s="89">
        <f t="shared" si="3"/>
        <v>17179.007999999998</v>
      </c>
      <c r="O63" s="64"/>
      <c r="P63" s="90">
        <f t="shared" si="4"/>
        <v>0</v>
      </c>
      <c r="Q63" s="64"/>
      <c r="R63" s="90">
        <f t="shared" si="5"/>
        <v>0</v>
      </c>
      <c r="S63" s="64"/>
      <c r="T63" s="91">
        <f t="shared" si="6"/>
        <v>0</v>
      </c>
      <c r="U63" s="64">
        <v>0</v>
      </c>
      <c r="V63" s="90">
        <f t="shared" si="7"/>
        <v>0</v>
      </c>
      <c r="W63" s="96"/>
      <c r="X63" s="91">
        <f t="shared" si="8"/>
        <v>0</v>
      </c>
      <c r="Y63" s="110">
        <f t="shared" si="14"/>
        <v>17179.007999999998</v>
      </c>
      <c r="Z63" s="32"/>
      <c r="AA63" s="12">
        <f t="shared" si="9"/>
        <v>0</v>
      </c>
      <c r="AB63" s="25">
        <f t="shared" si="10"/>
        <v>39003.36</v>
      </c>
      <c r="AC63" s="44"/>
      <c r="AD63" s="8">
        <f t="shared" si="28"/>
        <v>39003.36</v>
      </c>
      <c r="AE63" s="167">
        <v>11920.128</v>
      </c>
      <c r="AF63" s="168">
        <v>0</v>
      </c>
      <c r="AG63" s="168">
        <v>3250.28</v>
      </c>
      <c r="AH63" s="168">
        <v>0</v>
      </c>
      <c r="AI63" s="168">
        <v>39003.36</v>
      </c>
      <c r="AJ63" s="59" t="s">
        <v>296</v>
      </c>
      <c r="AK63" s="59"/>
      <c r="AL63" s="45">
        <v>0</v>
      </c>
      <c r="AM63" s="45">
        <v>997</v>
      </c>
      <c r="AN63" s="2">
        <v>0</v>
      </c>
      <c r="AO63" s="2">
        <v>997</v>
      </c>
      <c r="AP63" s="1">
        <v>0</v>
      </c>
      <c r="AQ63" s="1">
        <v>997</v>
      </c>
      <c r="AR63" s="24">
        <v>0</v>
      </c>
      <c r="AS63" s="24">
        <v>3281.56</v>
      </c>
      <c r="AT63" s="1">
        <v>0</v>
      </c>
      <c r="AU63" s="1">
        <v>997</v>
      </c>
      <c r="AV63" s="24">
        <v>0</v>
      </c>
      <c r="AW63" s="24">
        <v>997</v>
      </c>
      <c r="AX63" s="45">
        <v>0</v>
      </c>
      <c r="AY63" s="45">
        <v>997</v>
      </c>
      <c r="AZ63" s="24">
        <v>0</v>
      </c>
      <c r="BA63" s="24">
        <v>997</v>
      </c>
      <c r="BB63" s="24">
        <v>0</v>
      </c>
      <c r="BC63" s="24">
        <v>997</v>
      </c>
      <c r="BD63" s="24">
        <v>0</v>
      </c>
      <c r="BE63" s="24">
        <v>997</v>
      </c>
      <c r="BF63" s="24">
        <v>0</v>
      </c>
      <c r="BG63" s="24">
        <v>1823</v>
      </c>
      <c r="BH63" s="24">
        <v>0</v>
      </c>
      <c r="BI63" s="24">
        <v>997</v>
      </c>
      <c r="BJ63" s="9">
        <f t="shared" si="29"/>
        <v>0</v>
      </c>
      <c r="BK63" s="9">
        <f t="shared" si="30"/>
        <v>15074.56</v>
      </c>
      <c r="BL63" s="153">
        <f t="shared" si="31"/>
        <v>15074.56</v>
      </c>
      <c r="BM63" s="154"/>
      <c r="BN63" s="154"/>
      <c r="BO63" s="154"/>
      <c r="BP63" s="154"/>
      <c r="BQ63" s="154"/>
      <c r="BR63" s="155">
        <f t="shared" si="19"/>
        <v>15074.56</v>
      </c>
      <c r="BS63" s="198"/>
      <c r="BT63" s="199"/>
      <c r="BU63" s="20">
        <f t="shared" si="20"/>
        <v>23928.800000000003</v>
      </c>
      <c r="BV63" s="231">
        <v>51760.65</v>
      </c>
      <c r="BW63" s="229"/>
      <c r="BX63" s="230"/>
    </row>
    <row r="64" spans="1:76" ht="15.75" customHeight="1">
      <c r="A64" s="1">
        <v>57</v>
      </c>
      <c r="B64" s="1" t="s">
        <v>54</v>
      </c>
      <c r="C64" s="1">
        <v>4424.94</v>
      </c>
      <c r="D64" s="1">
        <v>181.9</v>
      </c>
      <c r="E64" s="1">
        <f t="shared" si="23"/>
        <v>4606.839999999999</v>
      </c>
      <c r="F64" s="2">
        <v>14.8</v>
      </c>
      <c r="G64" s="2">
        <f t="shared" si="24"/>
        <v>68181.23199999999</v>
      </c>
      <c r="H64" s="2">
        <f t="shared" si="25"/>
        <v>409087.39199999993</v>
      </c>
      <c r="I64" s="2">
        <f t="shared" si="12"/>
        <v>14.8</v>
      </c>
      <c r="J64" s="2">
        <f t="shared" si="1"/>
        <v>68181.23199999999</v>
      </c>
      <c r="K64" s="2">
        <f t="shared" si="26"/>
        <v>409087.39199999993</v>
      </c>
      <c r="L64" s="97">
        <f t="shared" si="27"/>
        <v>818174.7839999999</v>
      </c>
      <c r="M64" s="109">
        <v>3.92</v>
      </c>
      <c r="N64" s="89">
        <f t="shared" si="3"/>
        <v>216705.75359999994</v>
      </c>
      <c r="O64" s="64">
        <v>1.46</v>
      </c>
      <c r="P64" s="90">
        <f t="shared" si="4"/>
        <v>80711.83679999999</v>
      </c>
      <c r="Q64" s="64"/>
      <c r="R64" s="90">
        <f t="shared" si="5"/>
        <v>0</v>
      </c>
      <c r="S64" s="64"/>
      <c r="T64" s="91">
        <f t="shared" si="6"/>
        <v>0</v>
      </c>
      <c r="U64" s="64">
        <v>0.33</v>
      </c>
      <c r="V64" s="90">
        <f t="shared" si="7"/>
        <v>18243.086399999997</v>
      </c>
      <c r="W64" s="96"/>
      <c r="X64" s="91">
        <f t="shared" si="8"/>
        <v>0</v>
      </c>
      <c r="Y64" s="110">
        <f t="shared" si="14"/>
        <v>315660.6767999999</v>
      </c>
      <c r="Z64" s="32"/>
      <c r="AA64" s="12">
        <f t="shared" si="9"/>
        <v>0</v>
      </c>
      <c r="AB64" s="25">
        <f t="shared" si="10"/>
        <v>818174.7839999999</v>
      </c>
      <c r="AC64" s="166"/>
      <c r="AD64" s="8">
        <f t="shared" si="28"/>
        <v>818174.7839999999</v>
      </c>
      <c r="AE64" s="167">
        <v>286352.9664</v>
      </c>
      <c r="AF64" s="168">
        <v>0</v>
      </c>
      <c r="AG64" s="168">
        <v>68181.23199999999</v>
      </c>
      <c r="AH64" s="168">
        <v>0</v>
      </c>
      <c r="AI64" s="168">
        <v>818174.7839999999</v>
      </c>
      <c r="AJ64" s="59"/>
      <c r="AK64" s="59"/>
      <c r="AL64" s="45">
        <v>0</v>
      </c>
      <c r="AM64" s="45">
        <v>61073.4</v>
      </c>
      <c r="AN64" s="2">
        <v>0</v>
      </c>
      <c r="AO64" s="2">
        <v>38241.97</v>
      </c>
      <c r="AP64" s="1">
        <v>0</v>
      </c>
      <c r="AQ64" s="1">
        <v>41642.61</v>
      </c>
      <c r="AR64" s="24">
        <v>0</v>
      </c>
      <c r="AS64" s="24">
        <v>22144.99</v>
      </c>
      <c r="AT64" s="1">
        <v>0</v>
      </c>
      <c r="AU64" s="1">
        <v>59689.31</v>
      </c>
      <c r="AV64" s="24">
        <v>0</v>
      </c>
      <c r="AW64" s="24">
        <v>33627.09</v>
      </c>
      <c r="AX64" s="45">
        <v>0</v>
      </c>
      <c r="AY64" s="45">
        <v>48405.9</v>
      </c>
      <c r="AZ64" s="24">
        <v>0</v>
      </c>
      <c r="BA64" s="24">
        <v>95171.57</v>
      </c>
      <c r="BB64" s="24">
        <v>0</v>
      </c>
      <c r="BC64" s="24">
        <v>49122.6</v>
      </c>
      <c r="BD64" s="24">
        <v>0</v>
      </c>
      <c r="BE64" s="24">
        <v>30501.14</v>
      </c>
      <c r="BF64" s="24">
        <v>0</v>
      </c>
      <c r="BG64" s="24">
        <v>38062.94</v>
      </c>
      <c r="BH64" s="24">
        <v>0</v>
      </c>
      <c r="BI64" s="24">
        <v>37441.82</v>
      </c>
      <c r="BJ64" s="9">
        <f t="shared" si="29"/>
        <v>0</v>
      </c>
      <c r="BK64" s="9">
        <f t="shared" si="30"/>
        <v>555125.34</v>
      </c>
      <c r="BL64" s="153">
        <f t="shared" si="31"/>
        <v>555125.34</v>
      </c>
      <c r="BM64" s="154"/>
      <c r="BN64" s="154">
        <f>73873.45-14654.91-44787.25</f>
        <v>14431.289999999994</v>
      </c>
      <c r="BO64" s="154"/>
      <c r="BP64" s="154"/>
      <c r="BQ64" s="154"/>
      <c r="BR64" s="155">
        <f t="shared" si="19"/>
        <v>569556.63</v>
      </c>
      <c r="BS64" s="198"/>
      <c r="BT64" s="199">
        <v>4128</v>
      </c>
      <c r="BU64" s="20">
        <f t="shared" si="20"/>
        <v>248618.15399999986</v>
      </c>
      <c r="BV64" s="231">
        <v>807213.21</v>
      </c>
      <c r="BW64" s="229"/>
      <c r="BX64" s="230"/>
    </row>
    <row r="65" spans="1:76" ht="15.75">
      <c r="A65" s="1">
        <v>58</v>
      </c>
      <c r="B65" s="1" t="s">
        <v>55</v>
      </c>
      <c r="C65" s="1">
        <v>2045.9</v>
      </c>
      <c r="D65" s="1">
        <v>0</v>
      </c>
      <c r="E65" s="1">
        <f t="shared" si="23"/>
        <v>2045.9</v>
      </c>
      <c r="F65" s="2">
        <v>14.14</v>
      </c>
      <c r="G65" s="2">
        <f t="shared" si="24"/>
        <v>28929.026</v>
      </c>
      <c r="H65" s="2">
        <f t="shared" si="25"/>
        <v>173574.15600000002</v>
      </c>
      <c r="I65" s="2">
        <f aca="true" t="shared" si="32" ref="I65:I124">F65*1</f>
        <v>14.14</v>
      </c>
      <c r="J65" s="2">
        <f t="shared" si="1"/>
        <v>28929.026</v>
      </c>
      <c r="K65" s="2">
        <f t="shared" si="26"/>
        <v>173574.15600000002</v>
      </c>
      <c r="L65" s="97">
        <f t="shared" si="27"/>
        <v>347148.31200000003</v>
      </c>
      <c r="M65" s="109">
        <v>3.92</v>
      </c>
      <c r="N65" s="89">
        <f t="shared" si="3"/>
        <v>96239.136</v>
      </c>
      <c r="O65" s="64">
        <v>1.46</v>
      </c>
      <c r="P65" s="90">
        <f t="shared" si="4"/>
        <v>35844.168000000005</v>
      </c>
      <c r="Q65" s="64"/>
      <c r="R65" s="90">
        <f t="shared" si="5"/>
        <v>0</v>
      </c>
      <c r="S65" s="64"/>
      <c r="T65" s="91">
        <f t="shared" si="6"/>
        <v>0</v>
      </c>
      <c r="U65" s="64">
        <v>0.17</v>
      </c>
      <c r="V65" s="90">
        <f t="shared" si="7"/>
        <v>4173.636</v>
      </c>
      <c r="W65" s="96"/>
      <c r="X65" s="91">
        <f t="shared" si="8"/>
        <v>0</v>
      </c>
      <c r="Y65" s="110">
        <f t="shared" si="14"/>
        <v>136256.94</v>
      </c>
      <c r="Z65" s="32">
        <v>-154892.29</v>
      </c>
      <c r="AA65" s="12">
        <f t="shared" si="9"/>
        <v>-0.4461847707328042</v>
      </c>
      <c r="AB65" s="25">
        <f t="shared" si="10"/>
        <v>192256.02200000003</v>
      </c>
      <c r="AC65" s="44"/>
      <c r="AD65" s="8">
        <f t="shared" si="28"/>
        <v>192256.02200000003</v>
      </c>
      <c r="AE65" s="167">
        <v>69538.176</v>
      </c>
      <c r="AF65" s="168">
        <v>0</v>
      </c>
      <c r="AG65" s="168">
        <v>16021.33516666667</v>
      </c>
      <c r="AH65" s="168">
        <v>0</v>
      </c>
      <c r="AI65" s="168">
        <v>192256.02200000003</v>
      </c>
      <c r="AJ65" s="58" t="s">
        <v>296</v>
      </c>
      <c r="AK65" s="59"/>
      <c r="AL65" s="45">
        <v>0</v>
      </c>
      <c r="AM65" s="45">
        <v>41769.94</v>
      </c>
      <c r="AN65" s="2">
        <v>0</v>
      </c>
      <c r="AO65" s="2">
        <v>15287.88</v>
      </c>
      <c r="AP65" s="1">
        <v>0</v>
      </c>
      <c r="AQ65" s="1">
        <v>11065.37</v>
      </c>
      <c r="AR65" s="24">
        <v>0</v>
      </c>
      <c r="AS65" s="24">
        <v>8171.31</v>
      </c>
      <c r="AT65" s="1">
        <v>0</v>
      </c>
      <c r="AU65" s="1">
        <v>95615.77</v>
      </c>
      <c r="AV65" s="24">
        <v>0</v>
      </c>
      <c r="AW65" s="24">
        <v>13258.47</v>
      </c>
      <c r="AX65" s="45">
        <v>0</v>
      </c>
      <c r="AY65" s="45">
        <v>12619.77</v>
      </c>
      <c r="AZ65" s="24">
        <v>0</v>
      </c>
      <c r="BA65" s="24">
        <v>8292.58</v>
      </c>
      <c r="BB65" s="24">
        <v>0</v>
      </c>
      <c r="BC65" s="24">
        <v>12174.21</v>
      </c>
      <c r="BD65" s="24">
        <v>0</v>
      </c>
      <c r="BE65" s="24">
        <v>10646.85</v>
      </c>
      <c r="BF65" s="24">
        <v>0</v>
      </c>
      <c r="BG65" s="24">
        <v>16995.11</v>
      </c>
      <c r="BH65" s="24">
        <v>0</v>
      </c>
      <c r="BI65" s="24">
        <v>6955.31</v>
      </c>
      <c r="BJ65" s="9">
        <f t="shared" si="29"/>
        <v>0</v>
      </c>
      <c r="BK65" s="9">
        <f t="shared" si="30"/>
        <v>252852.57</v>
      </c>
      <c r="BL65" s="153">
        <f t="shared" si="31"/>
        <v>252852.57</v>
      </c>
      <c r="BM65" s="154"/>
      <c r="BN65" s="154"/>
      <c r="BO65" s="154"/>
      <c r="BP65" s="154"/>
      <c r="BQ65" s="154"/>
      <c r="BR65" s="155">
        <f t="shared" si="19"/>
        <v>252852.57</v>
      </c>
      <c r="BS65" s="198"/>
      <c r="BT65" s="199">
        <v>4128</v>
      </c>
      <c r="BU65" s="20">
        <f t="shared" si="20"/>
        <v>-60596.54799999998</v>
      </c>
      <c r="BV65" s="231">
        <v>511889.55</v>
      </c>
      <c r="BW65" s="229"/>
      <c r="BX65" s="230"/>
    </row>
    <row r="66" spans="1:76" ht="15.75" customHeight="1">
      <c r="A66" s="1">
        <v>59</v>
      </c>
      <c r="B66" s="1" t="s">
        <v>56</v>
      </c>
      <c r="C66" s="1">
        <v>2143.8</v>
      </c>
      <c r="D66" s="1">
        <v>139.9</v>
      </c>
      <c r="E66" s="1">
        <f t="shared" si="23"/>
        <v>2283.7000000000003</v>
      </c>
      <c r="F66" s="2">
        <v>14.8</v>
      </c>
      <c r="G66" s="2">
        <f t="shared" si="24"/>
        <v>33798.76</v>
      </c>
      <c r="H66" s="2">
        <f t="shared" si="25"/>
        <v>202792.56</v>
      </c>
      <c r="I66" s="2">
        <f t="shared" si="32"/>
        <v>14.8</v>
      </c>
      <c r="J66" s="2">
        <f t="shared" si="1"/>
        <v>33798.76</v>
      </c>
      <c r="K66" s="2">
        <f t="shared" si="26"/>
        <v>202792.56</v>
      </c>
      <c r="L66" s="97">
        <f t="shared" si="27"/>
        <v>405585.12</v>
      </c>
      <c r="M66" s="109">
        <v>3.92</v>
      </c>
      <c r="N66" s="89">
        <f t="shared" si="3"/>
        <v>107425.24800000002</v>
      </c>
      <c r="O66" s="64">
        <v>1.46</v>
      </c>
      <c r="P66" s="90">
        <f t="shared" si="4"/>
        <v>40010.424</v>
      </c>
      <c r="Q66" s="64"/>
      <c r="R66" s="90">
        <f t="shared" si="5"/>
        <v>0</v>
      </c>
      <c r="S66" s="64"/>
      <c r="T66" s="91">
        <f t="shared" si="6"/>
        <v>0</v>
      </c>
      <c r="U66" s="64">
        <v>0.65</v>
      </c>
      <c r="V66" s="90">
        <f t="shared" si="7"/>
        <v>17812.86</v>
      </c>
      <c r="W66" s="96"/>
      <c r="X66" s="91">
        <f t="shared" si="8"/>
        <v>0</v>
      </c>
      <c r="Y66" s="110">
        <f t="shared" si="14"/>
        <v>165248.532</v>
      </c>
      <c r="Z66" s="32">
        <v>-179938.17</v>
      </c>
      <c r="AA66" s="12">
        <f t="shared" si="9"/>
        <v>-0.4436508173672644</v>
      </c>
      <c r="AB66" s="25">
        <f t="shared" si="10"/>
        <v>225646.94999999998</v>
      </c>
      <c r="AC66" s="44"/>
      <c r="AD66" s="8">
        <f t="shared" si="28"/>
        <v>225646.94999999998</v>
      </c>
      <c r="AE66" s="167">
        <v>77299.968</v>
      </c>
      <c r="AF66" s="168">
        <v>0</v>
      </c>
      <c r="AG66" s="168">
        <v>18803.9125</v>
      </c>
      <c r="AH66" s="168">
        <v>0</v>
      </c>
      <c r="AI66" s="168">
        <v>225646.94999999998</v>
      </c>
      <c r="AJ66" s="58" t="s">
        <v>296</v>
      </c>
      <c r="AK66" s="59"/>
      <c r="AL66" s="45">
        <v>0</v>
      </c>
      <c r="AM66" s="45">
        <v>25849.79</v>
      </c>
      <c r="AN66" s="2">
        <v>0</v>
      </c>
      <c r="AO66" s="2">
        <v>47809.78</v>
      </c>
      <c r="AP66" s="1">
        <v>0</v>
      </c>
      <c r="AQ66" s="1">
        <v>11253.25</v>
      </c>
      <c r="AR66" s="24">
        <v>0</v>
      </c>
      <c r="AS66" s="24">
        <v>9900.5</v>
      </c>
      <c r="AT66" s="1">
        <v>0</v>
      </c>
      <c r="AU66" s="1">
        <v>6464.5</v>
      </c>
      <c r="AV66" s="24">
        <v>0</v>
      </c>
      <c r="AW66" s="24">
        <v>8162</v>
      </c>
      <c r="AX66" s="45">
        <v>0</v>
      </c>
      <c r="AY66" s="45">
        <v>41177.68</v>
      </c>
      <c r="AZ66" s="24">
        <v>0</v>
      </c>
      <c r="BA66" s="24">
        <v>48559.22</v>
      </c>
      <c r="BB66" s="24">
        <v>0</v>
      </c>
      <c r="BC66" s="24">
        <v>12315.15</v>
      </c>
      <c r="BD66" s="24">
        <v>0</v>
      </c>
      <c r="BE66" s="24">
        <v>26678.85</v>
      </c>
      <c r="BF66" s="24">
        <v>0</v>
      </c>
      <c r="BG66" s="24">
        <v>15395.61</v>
      </c>
      <c r="BH66" s="24">
        <v>0</v>
      </c>
      <c r="BI66" s="24">
        <v>7034.5</v>
      </c>
      <c r="BJ66" s="9">
        <f t="shared" si="29"/>
        <v>0</v>
      </c>
      <c r="BK66" s="9">
        <f t="shared" si="30"/>
        <v>260600.83000000002</v>
      </c>
      <c r="BL66" s="153">
        <f t="shared" si="31"/>
        <v>260600.83000000002</v>
      </c>
      <c r="BM66" s="154"/>
      <c r="BN66" s="154">
        <v>48720</v>
      </c>
      <c r="BO66" s="154"/>
      <c r="BP66" s="154"/>
      <c r="BQ66" s="154"/>
      <c r="BR66" s="155">
        <f t="shared" si="19"/>
        <v>309320.83</v>
      </c>
      <c r="BS66" s="198"/>
      <c r="BT66" s="199"/>
      <c r="BU66" s="20">
        <f t="shared" si="20"/>
        <v>-83673.88000000003</v>
      </c>
      <c r="BV66" s="231">
        <v>242211.4</v>
      </c>
      <c r="BW66" s="229"/>
      <c r="BX66" s="230"/>
    </row>
    <row r="67" spans="1:76" ht="15.75">
      <c r="A67" s="1">
        <v>60</v>
      </c>
      <c r="B67" s="1" t="s">
        <v>57</v>
      </c>
      <c r="C67" s="1">
        <v>1290.9</v>
      </c>
      <c r="D67" s="1">
        <v>0</v>
      </c>
      <c r="E67" s="1">
        <f t="shared" si="23"/>
        <v>1290.9</v>
      </c>
      <c r="F67" s="2">
        <v>15.22</v>
      </c>
      <c r="G67" s="2">
        <f t="shared" si="24"/>
        <v>19647.498000000003</v>
      </c>
      <c r="H67" s="2">
        <f t="shared" si="25"/>
        <v>117884.98800000001</v>
      </c>
      <c r="I67" s="2">
        <f t="shared" si="32"/>
        <v>15.22</v>
      </c>
      <c r="J67" s="2">
        <f aca="true" t="shared" si="33" ref="J67:J128">E67*I67</f>
        <v>19647.498000000003</v>
      </c>
      <c r="K67" s="2">
        <f t="shared" si="26"/>
        <v>117884.98800000001</v>
      </c>
      <c r="L67" s="97">
        <f t="shared" si="27"/>
        <v>235769.97600000002</v>
      </c>
      <c r="M67" s="109">
        <v>3.92</v>
      </c>
      <c r="N67" s="89">
        <f aca="true" t="shared" si="34" ref="N67:N128">E67*M67*12</f>
        <v>60723.936</v>
      </c>
      <c r="O67" s="64">
        <v>1.46</v>
      </c>
      <c r="P67" s="90">
        <f aca="true" t="shared" si="35" ref="P67:P128">E67*O67*12</f>
        <v>22616.568000000003</v>
      </c>
      <c r="Q67" s="64"/>
      <c r="R67" s="90">
        <f aca="true" t="shared" si="36" ref="R67:R128">E67*Q67*12</f>
        <v>0</v>
      </c>
      <c r="S67" s="64"/>
      <c r="T67" s="91">
        <f aca="true" t="shared" si="37" ref="T67:T128">E67*S67*12</f>
        <v>0</v>
      </c>
      <c r="U67" s="64">
        <v>0.27</v>
      </c>
      <c r="V67" s="90">
        <f aca="true" t="shared" si="38" ref="V67:V128">E67*U67*12</f>
        <v>4182.5160000000005</v>
      </c>
      <c r="W67" s="96"/>
      <c r="X67" s="91">
        <f aca="true" t="shared" si="39" ref="X67:X128">E67*W67*12</f>
        <v>0</v>
      </c>
      <c r="Y67" s="110">
        <f t="shared" si="14"/>
        <v>87523.02</v>
      </c>
      <c r="Z67" s="32">
        <v>-372896.5</v>
      </c>
      <c r="AA67" s="12">
        <f aca="true" t="shared" si="40" ref="AA67:AA128">Z67/L67</f>
        <v>-1.5816114771119116</v>
      </c>
      <c r="AB67" s="25">
        <f aca="true" t="shared" si="41" ref="AB67:AB128">L67+Z67</f>
        <v>-137126.52399999998</v>
      </c>
      <c r="AC67" s="44"/>
      <c r="AD67" s="8">
        <f t="shared" si="28"/>
        <v>-137126.52399999998</v>
      </c>
      <c r="AE67" s="167">
        <v>44894.97600000001</v>
      </c>
      <c r="AF67" s="168">
        <v>1822.2324630601336</v>
      </c>
      <c r="AG67" s="168">
        <v>1919.0155369398672</v>
      </c>
      <c r="AH67" s="168">
        <v>21866.789556721604</v>
      </c>
      <c r="AI67" s="168">
        <v>23028.186443278406</v>
      </c>
      <c r="AJ67" s="59" t="s">
        <v>296</v>
      </c>
      <c r="AK67" s="26" t="s">
        <v>352</v>
      </c>
      <c r="AL67" s="45">
        <v>5436.64</v>
      </c>
      <c r="AM67" s="45">
        <v>4680.51</v>
      </c>
      <c r="AN67" s="2">
        <v>2909.91</v>
      </c>
      <c r="AO67" s="2">
        <v>14996.31</v>
      </c>
      <c r="AP67" s="1">
        <v>0</v>
      </c>
      <c r="AQ67" s="1">
        <v>3934.16</v>
      </c>
      <c r="AR67" s="24">
        <v>438.75</v>
      </c>
      <c r="AS67" s="24">
        <v>5030.16</v>
      </c>
      <c r="AT67" s="1">
        <v>4200.06</v>
      </c>
      <c r="AU67" s="1">
        <v>51809.57</v>
      </c>
      <c r="AV67" s="24">
        <v>22492.22</v>
      </c>
      <c r="AW67" s="24">
        <v>6416.74</v>
      </c>
      <c r="AX67" s="45">
        <v>23965.32</v>
      </c>
      <c r="AY67" s="45">
        <v>15808.15</v>
      </c>
      <c r="AZ67" s="24">
        <v>7526.03</v>
      </c>
      <c r="BA67" s="24">
        <v>13793.04</v>
      </c>
      <c r="BB67" s="24">
        <v>6827.29</v>
      </c>
      <c r="BC67" s="24">
        <v>6773.56</v>
      </c>
      <c r="BD67" s="24">
        <v>0</v>
      </c>
      <c r="BE67" s="24">
        <v>6773.56</v>
      </c>
      <c r="BF67" s="24">
        <v>3267.68</v>
      </c>
      <c r="BG67" s="24">
        <v>8281.56</v>
      </c>
      <c r="BH67" s="24">
        <v>1050</v>
      </c>
      <c r="BI67" s="24">
        <v>3754.16</v>
      </c>
      <c r="BJ67" s="9">
        <f t="shared" si="29"/>
        <v>78113.9</v>
      </c>
      <c r="BK67" s="9">
        <f t="shared" si="30"/>
        <v>142051.47999999998</v>
      </c>
      <c r="BL67" s="153">
        <f t="shared" si="31"/>
        <v>220165.37999999998</v>
      </c>
      <c r="BM67" s="154"/>
      <c r="BN67" s="154"/>
      <c r="BO67" s="154"/>
      <c r="BP67" s="154"/>
      <c r="BQ67" s="154"/>
      <c r="BR67" s="155">
        <f t="shared" si="19"/>
        <v>220165.37999999998</v>
      </c>
      <c r="BS67" s="198"/>
      <c r="BT67" s="199">
        <v>4128</v>
      </c>
      <c r="BU67" s="20">
        <f aca="true" t="shared" si="42" ref="BU67:BU128">AB67-BR67+BS67</f>
        <v>-357291.904</v>
      </c>
      <c r="BV67" s="231">
        <v>96135.66</v>
      </c>
      <c r="BW67" s="229"/>
      <c r="BX67" s="230"/>
    </row>
    <row r="68" spans="1:76" ht="15.75" customHeight="1">
      <c r="A68" s="1">
        <v>61</v>
      </c>
      <c r="B68" s="1" t="s">
        <v>58</v>
      </c>
      <c r="C68" s="27">
        <v>2008.7</v>
      </c>
      <c r="D68" s="1">
        <v>0</v>
      </c>
      <c r="E68" s="1">
        <f t="shared" si="23"/>
        <v>2008.7</v>
      </c>
      <c r="F68" s="2">
        <v>14.14</v>
      </c>
      <c r="G68" s="2">
        <f t="shared" si="24"/>
        <v>28403.018</v>
      </c>
      <c r="H68" s="2">
        <f t="shared" si="25"/>
        <v>170418.108</v>
      </c>
      <c r="I68" s="2">
        <f t="shared" si="32"/>
        <v>14.14</v>
      </c>
      <c r="J68" s="2">
        <f t="shared" si="33"/>
        <v>28403.018</v>
      </c>
      <c r="K68" s="2">
        <f t="shared" si="26"/>
        <v>170418.108</v>
      </c>
      <c r="L68" s="97">
        <f t="shared" si="27"/>
        <v>340836.216</v>
      </c>
      <c r="M68" s="109">
        <v>3.92</v>
      </c>
      <c r="N68" s="89">
        <f t="shared" si="34"/>
        <v>94489.248</v>
      </c>
      <c r="O68" s="64">
        <v>1.46</v>
      </c>
      <c r="P68" s="90">
        <f t="shared" si="35"/>
        <v>35192.424</v>
      </c>
      <c r="Q68" s="64"/>
      <c r="R68" s="90">
        <f t="shared" si="36"/>
        <v>0</v>
      </c>
      <c r="S68" s="64"/>
      <c r="T68" s="91">
        <f t="shared" si="37"/>
        <v>0</v>
      </c>
      <c r="U68" s="64">
        <v>0.57</v>
      </c>
      <c r="V68" s="90">
        <f t="shared" si="38"/>
        <v>13739.507999999998</v>
      </c>
      <c r="W68" s="96"/>
      <c r="X68" s="91">
        <f t="shared" si="39"/>
        <v>0</v>
      </c>
      <c r="Y68" s="110">
        <f aca="true" t="shared" si="43" ref="Y68:Y128">N68+P68+R68+T68+V68+X68</f>
        <v>143421.18</v>
      </c>
      <c r="Z68" s="32">
        <v>-322421.21</v>
      </c>
      <c r="AA68" s="12">
        <f t="shared" si="40"/>
        <v>-0.9459710995031115</v>
      </c>
      <c r="AB68" s="25">
        <f t="shared" si="41"/>
        <v>18415.005999999994</v>
      </c>
      <c r="AC68" s="44"/>
      <c r="AD68" s="8">
        <f t="shared" si="28"/>
        <v>18415.005999999994</v>
      </c>
      <c r="AE68" s="167">
        <v>68323.96800000001</v>
      </c>
      <c r="AF68" s="168">
        <v>0</v>
      </c>
      <c r="AG68" s="168">
        <v>1534.583833333333</v>
      </c>
      <c r="AH68" s="168">
        <v>0</v>
      </c>
      <c r="AI68" s="168">
        <v>18415.005999999994</v>
      </c>
      <c r="AJ68" s="58" t="s">
        <v>296</v>
      </c>
      <c r="AK68" s="26"/>
      <c r="AL68" s="45">
        <v>0</v>
      </c>
      <c r="AM68" s="45">
        <v>26275.02</v>
      </c>
      <c r="AN68" s="2">
        <v>0</v>
      </c>
      <c r="AO68" s="2">
        <v>11395.85</v>
      </c>
      <c r="AP68" s="1">
        <v>0</v>
      </c>
      <c r="AQ68" s="1">
        <v>6721.41</v>
      </c>
      <c r="AR68" s="24">
        <v>0</v>
      </c>
      <c r="AS68" s="24">
        <v>10339.03</v>
      </c>
      <c r="AT68" s="1">
        <v>0</v>
      </c>
      <c r="AU68" s="1">
        <v>5712.66</v>
      </c>
      <c r="AV68" s="24">
        <v>0</v>
      </c>
      <c r="AW68" s="24">
        <v>55508.73</v>
      </c>
      <c r="AX68" s="45">
        <v>0</v>
      </c>
      <c r="AY68" s="45">
        <v>17372.66</v>
      </c>
      <c r="AZ68" s="24">
        <v>0</v>
      </c>
      <c r="BA68" s="24">
        <v>23158.86</v>
      </c>
      <c r="BB68" s="24">
        <v>0</v>
      </c>
      <c r="BC68" s="24">
        <v>104253.33</v>
      </c>
      <c r="BD68" s="24">
        <v>0</v>
      </c>
      <c r="BE68" s="24">
        <v>23753.16</v>
      </c>
      <c r="BF68" s="24">
        <v>0</v>
      </c>
      <c r="BG68" s="24">
        <v>10240.06</v>
      </c>
      <c r="BH68" s="24">
        <v>0</v>
      </c>
      <c r="BI68" s="24">
        <v>6912.66</v>
      </c>
      <c r="BJ68" s="9">
        <f t="shared" si="29"/>
        <v>0</v>
      </c>
      <c r="BK68" s="9">
        <f t="shared" si="30"/>
        <v>301643.43</v>
      </c>
      <c r="BL68" s="153">
        <f t="shared" si="31"/>
        <v>301643.43</v>
      </c>
      <c r="BM68" s="154"/>
      <c r="BN68" s="154"/>
      <c r="BO68" s="154"/>
      <c r="BP68" s="154"/>
      <c r="BQ68" s="154"/>
      <c r="BR68" s="155">
        <f aca="true" t="shared" si="44" ref="BR68:BR128">BL68+BM68+BN68+BO68+BQ68+BP68</f>
        <v>301643.43</v>
      </c>
      <c r="BS68" s="198"/>
      <c r="BT68" s="199"/>
      <c r="BU68" s="20">
        <f t="shared" si="42"/>
        <v>-283228.424</v>
      </c>
      <c r="BV68" s="231">
        <v>69313</v>
      </c>
      <c r="BW68" s="229"/>
      <c r="BX68" s="230"/>
    </row>
    <row r="69" spans="1:76" ht="15.75" customHeight="1">
      <c r="A69" s="1">
        <v>62</v>
      </c>
      <c r="B69" s="1" t="s">
        <v>59</v>
      </c>
      <c r="C69" s="1">
        <v>1070.9</v>
      </c>
      <c r="D69" s="1">
        <v>210.3</v>
      </c>
      <c r="E69" s="1">
        <f t="shared" si="23"/>
        <v>1281.2</v>
      </c>
      <c r="F69" s="2">
        <v>14.14</v>
      </c>
      <c r="G69" s="2">
        <f t="shared" si="24"/>
        <v>18116.168</v>
      </c>
      <c r="H69" s="2">
        <f t="shared" si="25"/>
        <v>108697.008</v>
      </c>
      <c r="I69" s="2">
        <f t="shared" si="32"/>
        <v>14.14</v>
      </c>
      <c r="J69" s="2">
        <f t="shared" si="33"/>
        <v>18116.168</v>
      </c>
      <c r="K69" s="2">
        <f t="shared" si="26"/>
        <v>108697.008</v>
      </c>
      <c r="L69" s="97">
        <f t="shared" si="27"/>
        <v>217394.016</v>
      </c>
      <c r="M69" s="109">
        <v>3.92</v>
      </c>
      <c r="N69" s="89">
        <f t="shared" si="34"/>
        <v>60267.648</v>
      </c>
      <c r="O69" s="64">
        <v>1.46</v>
      </c>
      <c r="P69" s="90">
        <f t="shared" si="35"/>
        <v>22446.624</v>
      </c>
      <c r="Q69" s="64"/>
      <c r="R69" s="90">
        <f t="shared" si="36"/>
        <v>0</v>
      </c>
      <c r="S69" s="64"/>
      <c r="T69" s="91">
        <f t="shared" si="37"/>
        <v>0</v>
      </c>
      <c r="U69" s="64">
        <v>0.91</v>
      </c>
      <c r="V69" s="90">
        <f t="shared" si="38"/>
        <v>13990.704000000002</v>
      </c>
      <c r="W69" s="96"/>
      <c r="X69" s="91">
        <f t="shared" si="39"/>
        <v>0</v>
      </c>
      <c r="Y69" s="110">
        <f t="shared" si="43"/>
        <v>96704.976</v>
      </c>
      <c r="Z69" s="32">
        <v>-221141.2</v>
      </c>
      <c r="AA69" s="12">
        <f t="shared" si="40"/>
        <v>-1.01723683139466</v>
      </c>
      <c r="AB69" s="25">
        <f t="shared" si="41"/>
        <v>-3747.1840000000084</v>
      </c>
      <c r="AC69" s="44"/>
      <c r="AD69" s="8">
        <f t="shared" si="28"/>
        <v>-3747.1840000000084</v>
      </c>
      <c r="AE69" s="167">
        <v>44578.368</v>
      </c>
      <c r="AF69" s="168">
        <v>0</v>
      </c>
      <c r="AG69" s="168">
        <v>3714.864</v>
      </c>
      <c r="AH69" s="168">
        <v>0</v>
      </c>
      <c r="AI69" s="168">
        <v>44578.368</v>
      </c>
      <c r="AJ69" s="59" t="s">
        <v>296</v>
      </c>
      <c r="AK69" s="26" t="s">
        <v>352</v>
      </c>
      <c r="AL69" s="45">
        <v>0</v>
      </c>
      <c r="AM69" s="45">
        <v>5720.51</v>
      </c>
      <c r="AN69" s="2">
        <v>0</v>
      </c>
      <c r="AO69" s="2">
        <v>12898.32</v>
      </c>
      <c r="AP69" s="1">
        <v>0</v>
      </c>
      <c r="AQ69" s="1">
        <v>3722.49</v>
      </c>
      <c r="AR69" s="24">
        <v>0</v>
      </c>
      <c r="AS69" s="24">
        <v>7268.86</v>
      </c>
      <c r="AT69" s="1">
        <v>0</v>
      </c>
      <c r="AU69" s="1">
        <v>9187.52</v>
      </c>
      <c r="AV69" s="24">
        <v>0</v>
      </c>
      <c r="AW69" s="24">
        <v>3722.49</v>
      </c>
      <c r="AX69" s="45">
        <v>0</v>
      </c>
      <c r="AY69" s="45">
        <v>15229.38</v>
      </c>
      <c r="AZ69" s="24">
        <v>0</v>
      </c>
      <c r="BA69" s="24">
        <v>5222.49</v>
      </c>
      <c r="BB69" s="24">
        <v>0</v>
      </c>
      <c r="BC69" s="24">
        <v>7719.16</v>
      </c>
      <c r="BD69" s="24">
        <v>0</v>
      </c>
      <c r="BE69" s="24">
        <v>7612</v>
      </c>
      <c r="BF69" s="24">
        <v>0</v>
      </c>
      <c r="BG69" s="24">
        <v>8249.89</v>
      </c>
      <c r="BH69" s="24">
        <v>0</v>
      </c>
      <c r="BI69" s="24">
        <v>6889.61</v>
      </c>
      <c r="BJ69" s="9">
        <f t="shared" si="29"/>
        <v>0</v>
      </c>
      <c r="BK69" s="9">
        <f t="shared" si="30"/>
        <v>93442.71999999999</v>
      </c>
      <c r="BL69" s="153">
        <f t="shared" si="31"/>
        <v>93442.71999999999</v>
      </c>
      <c r="BM69" s="154"/>
      <c r="BN69" s="154"/>
      <c r="BO69" s="154"/>
      <c r="BP69" s="154"/>
      <c r="BQ69" s="154"/>
      <c r="BR69" s="155">
        <f t="shared" si="44"/>
        <v>93442.71999999999</v>
      </c>
      <c r="BS69" s="198">
        <v>931.92</v>
      </c>
      <c r="BT69" s="199"/>
      <c r="BU69" s="20">
        <f t="shared" si="42"/>
        <v>-96257.984</v>
      </c>
      <c r="BV69" s="231">
        <v>178510.73</v>
      </c>
      <c r="BW69" s="229"/>
      <c r="BX69" s="230"/>
    </row>
    <row r="70" spans="1:76" ht="15.75">
      <c r="A70" s="1">
        <v>63</v>
      </c>
      <c r="B70" s="1" t="s">
        <v>60</v>
      </c>
      <c r="C70" s="1">
        <v>2487.5</v>
      </c>
      <c r="D70" s="1">
        <v>0</v>
      </c>
      <c r="E70" s="1">
        <f t="shared" si="23"/>
        <v>2487.5</v>
      </c>
      <c r="F70" s="2">
        <v>15.87</v>
      </c>
      <c r="G70" s="2">
        <f t="shared" si="24"/>
        <v>39476.625</v>
      </c>
      <c r="H70" s="2">
        <f t="shared" si="25"/>
        <v>236859.75</v>
      </c>
      <c r="I70" s="2">
        <f t="shared" si="32"/>
        <v>15.87</v>
      </c>
      <c r="J70" s="2">
        <f t="shared" si="33"/>
        <v>39476.625</v>
      </c>
      <c r="K70" s="2">
        <f t="shared" si="26"/>
        <v>236859.75</v>
      </c>
      <c r="L70" s="97">
        <f t="shared" si="27"/>
        <v>473719.5</v>
      </c>
      <c r="M70" s="109">
        <v>3.92</v>
      </c>
      <c r="N70" s="89">
        <f t="shared" si="34"/>
        <v>117012</v>
      </c>
      <c r="O70" s="64">
        <v>1.46</v>
      </c>
      <c r="P70" s="90">
        <f t="shared" si="35"/>
        <v>43581</v>
      </c>
      <c r="Q70" s="64"/>
      <c r="R70" s="90">
        <f t="shared" si="36"/>
        <v>0</v>
      </c>
      <c r="S70" s="64"/>
      <c r="T70" s="91">
        <f t="shared" si="37"/>
        <v>0</v>
      </c>
      <c r="U70" s="64">
        <v>0.74</v>
      </c>
      <c r="V70" s="90">
        <f t="shared" si="38"/>
        <v>22089</v>
      </c>
      <c r="W70" s="96"/>
      <c r="X70" s="91">
        <f t="shared" si="39"/>
        <v>0</v>
      </c>
      <c r="Y70" s="110">
        <f t="shared" si="43"/>
        <v>182682</v>
      </c>
      <c r="Z70" s="32">
        <v>-401320.75</v>
      </c>
      <c r="AA70" s="12">
        <f t="shared" si="40"/>
        <v>-0.8471695803107113</v>
      </c>
      <c r="AB70" s="25">
        <f t="shared" si="41"/>
        <v>72398.75</v>
      </c>
      <c r="AC70" s="166"/>
      <c r="AD70" s="8">
        <f t="shared" si="28"/>
        <v>72398.75</v>
      </c>
      <c r="AE70" s="167">
        <v>166113</v>
      </c>
      <c r="AF70" s="168">
        <v>8085.36754068716</v>
      </c>
      <c r="AG70" s="168">
        <v>5757.38245931284</v>
      </c>
      <c r="AH70" s="168">
        <v>97024.41048824592</v>
      </c>
      <c r="AI70" s="168">
        <v>69088.58951175408</v>
      </c>
      <c r="AJ70" s="59"/>
      <c r="AK70" s="26" t="s">
        <v>352</v>
      </c>
      <c r="AL70" s="45">
        <v>14855.99</v>
      </c>
      <c r="AM70" s="45">
        <v>7250.88</v>
      </c>
      <c r="AN70" s="2">
        <v>4850.63</v>
      </c>
      <c r="AO70" s="2">
        <v>8584.07</v>
      </c>
      <c r="AP70" s="1">
        <v>7514.63</v>
      </c>
      <c r="AQ70" s="1">
        <v>7957.32</v>
      </c>
      <c r="AR70" s="24">
        <v>5829.43</v>
      </c>
      <c r="AS70" s="24">
        <v>10870.98</v>
      </c>
      <c r="AT70" s="1">
        <v>13213.68</v>
      </c>
      <c r="AU70" s="1">
        <v>9666.4</v>
      </c>
      <c r="AV70" s="24">
        <v>10323.13</v>
      </c>
      <c r="AW70" s="24">
        <v>7250.88</v>
      </c>
      <c r="AX70" s="45">
        <v>13219.89</v>
      </c>
      <c r="AY70" s="45">
        <v>24648.25</v>
      </c>
      <c r="AZ70" s="24">
        <v>16293.27</v>
      </c>
      <c r="BA70" s="24">
        <v>14463.46</v>
      </c>
      <c r="BB70" s="24">
        <v>14123.38</v>
      </c>
      <c r="BC70" s="24">
        <v>29266.58</v>
      </c>
      <c r="BD70" s="24">
        <v>4850.63</v>
      </c>
      <c r="BE70" s="24">
        <v>10270.28</v>
      </c>
      <c r="BF70" s="24">
        <v>34478.29</v>
      </c>
      <c r="BG70" s="24">
        <v>11778.28</v>
      </c>
      <c r="BH70" s="24">
        <v>6965.4</v>
      </c>
      <c r="BI70" s="24">
        <v>17033</v>
      </c>
      <c r="BJ70" s="9">
        <f t="shared" si="29"/>
        <v>146518.35</v>
      </c>
      <c r="BK70" s="9">
        <f t="shared" si="30"/>
        <v>159040.38</v>
      </c>
      <c r="BL70" s="153">
        <f t="shared" si="31"/>
        <v>305558.73</v>
      </c>
      <c r="BM70" s="154"/>
      <c r="BN70" s="154">
        <f>16078.21+73873.45</f>
        <v>89951.66</v>
      </c>
      <c r="BO70" s="154"/>
      <c r="BP70" s="154"/>
      <c r="BQ70" s="154"/>
      <c r="BR70" s="155">
        <f t="shared" si="44"/>
        <v>395510.39</v>
      </c>
      <c r="BS70" s="198">
        <v>1816.17</v>
      </c>
      <c r="BT70" s="199">
        <v>4128</v>
      </c>
      <c r="BU70" s="20">
        <f t="shared" si="42"/>
        <v>-321295.47000000003</v>
      </c>
      <c r="BV70" s="231">
        <v>417709</v>
      </c>
      <c r="BW70" s="229"/>
      <c r="BX70" s="230"/>
    </row>
    <row r="71" spans="1:76" ht="15.75" customHeight="1">
      <c r="A71" s="1">
        <v>64</v>
      </c>
      <c r="B71" s="1" t="s">
        <v>61</v>
      </c>
      <c r="C71" s="1">
        <v>391.7</v>
      </c>
      <c r="D71" s="1">
        <v>0</v>
      </c>
      <c r="E71" s="1">
        <f t="shared" si="23"/>
        <v>391.7</v>
      </c>
      <c r="F71" s="2">
        <v>13.23</v>
      </c>
      <c r="G71" s="2">
        <f t="shared" si="24"/>
        <v>5182.191</v>
      </c>
      <c r="H71" s="2">
        <f t="shared" si="25"/>
        <v>31093.146</v>
      </c>
      <c r="I71" s="2">
        <f t="shared" si="32"/>
        <v>13.23</v>
      </c>
      <c r="J71" s="2">
        <f t="shared" si="33"/>
        <v>5182.191</v>
      </c>
      <c r="K71" s="2">
        <f t="shared" si="26"/>
        <v>31093.146</v>
      </c>
      <c r="L71" s="97">
        <f t="shared" si="27"/>
        <v>62186.292</v>
      </c>
      <c r="M71" s="109">
        <v>3.92</v>
      </c>
      <c r="N71" s="89">
        <f t="shared" si="34"/>
        <v>18425.568</v>
      </c>
      <c r="O71" s="64">
        <v>1.46</v>
      </c>
      <c r="P71" s="90">
        <f t="shared" si="35"/>
        <v>6862.583999999999</v>
      </c>
      <c r="Q71" s="64">
        <v>0.52</v>
      </c>
      <c r="R71" s="90">
        <f t="shared" si="36"/>
        <v>2444.208</v>
      </c>
      <c r="S71" s="64">
        <v>0.89</v>
      </c>
      <c r="T71" s="91">
        <f t="shared" si="37"/>
        <v>4183.356</v>
      </c>
      <c r="U71" s="64">
        <v>0</v>
      </c>
      <c r="V71" s="90">
        <f t="shared" si="38"/>
        <v>0</v>
      </c>
      <c r="W71" s="96"/>
      <c r="X71" s="91">
        <f t="shared" si="39"/>
        <v>0</v>
      </c>
      <c r="Y71" s="110">
        <f t="shared" si="43"/>
        <v>31915.715999999997</v>
      </c>
      <c r="Z71" s="32">
        <v>-222581.96</v>
      </c>
      <c r="AA71" s="12">
        <f t="shared" si="40"/>
        <v>-3.5792769248888483</v>
      </c>
      <c r="AB71" s="25">
        <f t="shared" si="41"/>
        <v>-160395.668</v>
      </c>
      <c r="AC71" s="44"/>
      <c r="AD71" s="8">
        <f t="shared" si="28"/>
        <v>-160395.668</v>
      </c>
      <c r="AE71" s="167">
        <v>12785.088</v>
      </c>
      <c r="AF71" s="168">
        <v>0</v>
      </c>
      <c r="AG71" s="168">
        <v>1065.4240000000002</v>
      </c>
      <c r="AH71" s="168">
        <v>0</v>
      </c>
      <c r="AI71" s="168">
        <v>12785.088000000003</v>
      </c>
      <c r="AJ71" s="59" t="s">
        <v>296</v>
      </c>
      <c r="AK71" s="26" t="s">
        <v>352</v>
      </c>
      <c r="AL71" s="45">
        <v>0</v>
      </c>
      <c r="AM71" s="45">
        <v>1069.34</v>
      </c>
      <c r="AN71" s="2">
        <v>0</v>
      </c>
      <c r="AO71" s="2">
        <v>1069.34</v>
      </c>
      <c r="AP71" s="1">
        <v>0</v>
      </c>
      <c r="AQ71" s="1">
        <v>2105.14</v>
      </c>
      <c r="AR71" s="24">
        <v>0</v>
      </c>
      <c r="AS71" s="24">
        <v>1767.84</v>
      </c>
      <c r="AT71" s="1">
        <v>0</v>
      </c>
      <c r="AU71" s="1">
        <v>1069.34</v>
      </c>
      <c r="AV71" s="24">
        <v>0</v>
      </c>
      <c r="AW71" s="24">
        <v>1069.34</v>
      </c>
      <c r="AX71" s="45">
        <v>0</v>
      </c>
      <c r="AY71" s="45">
        <v>1069.34</v>
      </c>
      <c r="AZ71" s="24">
        <v>0</v>
      </c>
      <c r="BA71" s="24">
        <v>1069.34</v>
      </c>
      <c r="BB71" s="24">
        <v>0</v>
      </c>
      <c r="BC71" s="24">
        <v>1069.34</v>
      </c>
      <c r="BD71" s="24">
        <v>0</v>
      </c>
      <c r="BE71" s="24">
        <v>1069.34</v>
      </c>
      <c r="BF71" s="24">
        <v>0</v>
      </c>
      <c r="BG71" s="24">
        <v>3286.5</v>
      </c>
      <c r="BH71" s="24">
        <v>0</v>
      </c>
      <c r="BI71" s="24">
        <v>1069.34</v>
      </c>
      <c r="BJ71" s="9">
        <f t="shared" si="29"/>
        <v>0</v>
      </c>
      <c r="BK71" s="9">
        <f t="shared" si="30"/>
        <v>16783.54</v>
      </c>
      <c r="BL71" s="153">
        <f t="shared" si="31"/>
        <v>16783.54</v>
      </c>
      <c r="BM71" s="154"/>
      <c r="BN71" s="154"/>
      <c r="BO71" s="154">
        <v>304.74</v>
      </c>
      <c r="BP71" s="154"/>
      <c r="BQ71" s="154"/>
      <c r="BR71" s="155">
        <f t="shared" si="44"/>
        <v>17088.280000000002</v>
      </c>
      <c r="BS71" s="154">
        <f>1128.1+1143.76</f>
        <v>2271.8599999999997</v>
      </c>
      <c r="BT71" s="199"/>
      <c r="BU71" s="20">
        <f t="shared" si="42"/>
        <v>-175212.08800000002</v>
      </c>
      <c r="BV71" s="231">
        <v>762573.93</v>
      </c>
      <c r="BW71" s="229"/>
      <c r="BX71" s="230"/>
    </row>
    <row r="72" spans="1:76" ht="15.75" customHeight="1">
      <c r="A72" s="1">
        <v>65</v>
      </c>
      <c r="B72" s="1" t="s">
        <v>62</v>
      </c>
      <c r="C72" s="1">
        <v>600.9</v>
      </c>
      <c r="D72" s="1">
        <v>0</v>
      </c>
      <c r="E72" s="1">
        <f t="shared" si="23"/>
        <v>600.9</v>
      </c>
      <c r="F72" s="2">
        <v>13.44</v>
      </c>
      <c r="G72" s="2">
        <f t="shared" si="24"/>
        <v>8076.096</v>
      </c>
      <c r="H72" s="2">
        <f t="shared" si="25"/>
        <v>48456.576</v>
      </c>
      <c r="I72" s="2">
        <f t="shared" si="32"/>
        <v>13.44</v>
      </c>
      <c r="J72" s="2">
        <f t="shared" si="33"/>
        <v>8076.096</v>
      </c>
      <c r="K72" s="2">
        <f t="shared" si="26"/>
        <v>48456.576</v>
      </c>
      <c r="L72" s="97">
        <f t="shared" si="27"/>
        <v>96913.152</v>
      </c>
      <c r="M72" s="109">
        <v>3.92</v>
      </c>
      <c r="N72" s="89">
        <f t="shared" si="34"/>
        <v>28266.335999999996</v>
      </c>
      <c r="O72" s="64">
        <v>1.46</v>
      </c>
      <c r="P72" s="90">
        <f t="shared" si="35"/>
        <v>10527.768</v>
      </c>
      <c r="Q72" s="64"/>
      <c r="R72" s="90">
        <f t="shared" si="36"/>
        <v>0</v>
      </c>
      <c r="S72" s="64"/>
      <c r="T72" s="91">
        <f t="shared" si="37"/>
        <v>0</v>
      </c>
      <c r="U72" s="64">
        <v>0</v>
      </c>
      <c r="V72" s="90">
        <f t="shared" si="38"/>
        <v>0</v>
      </c>
      <c r="W72" s="96"/>
      <c r="X72" s="91">
        <f t="shared" si="39"/>
        <v>0</v>
      </c>
      <c r="Y72" s="110">
        <f t="shared" si="43"/>
        <v>38794.10399999999</v>
      </c>
      <c r="Z72" s="32">
        <v>-79781.33</v>
      </c>
      <c r="AA72" s="12">
        <f t="shared" si="40"/>
        <v>-0.8232250045896763</v>
      </c>
      <c r="AB72" s="25">
        <f t="shared" si="41"/>
        <v>17131.822</v>
      </c>
      <c r="AC72" s="44"/>
      <c r="AD72" s="8">
        <f t="shared" si="28"/>
        <v>17131.822</v>
      </c>
      <c r="AE72" s="167">
        <v>19613.376</v>
      </c>
      <c r="AF72" s="168">
        <v>0</v>
      </c>
      <c r="AG72" s="168">
        <v>1427.6518333333333</v>
      </c>
      <c r="AH72" s="168">
        <v>0</v>
      </c>
      <c r="AI72" s="168">
        <v>17131.822</v>
      </c>
      <c r="AJ72" s="59" t="s">
        <v>296</v>
      </c>
      <c r="AK72" s="59"/>
      <c r="AL72" s="45">
        <v>0</v>
      </c>
      <c r="AM72" s="45">
        <v>3912.92</v>
      </c>
      <c r="AN72" s="2">
        <v>0</v>
      </c>
      <c r="AO72" s="2">
        <v>1640.46</v>
      </c>
      <c r="AP72" s="1">
        <v>0</v>
      </c>
      <c r="AQ72" s="1">
        <v>2676.26</v>
      </c>
      <c r="AR72" s="24">
        <v>0</v>
      </c>
      <c r="AS72" s="24">
        <v>5157.2</v>
      </c>
      <c r="AT72" s="1">
        <v>0</v>
      </c>
      <c r="AU72" s="1">
        <v>1910.46</v>
      </c>
      <c r="AV72" s="24">
        <v>0</v>
      </c>
      <c r="AW72" s="24">
        <v>1640.46</v>
      </c>
      <c r="AX72" s="45">
        <v>0</v>
      </c>
      <c r="AY72" s="45">
        <v>35535.68</v>
      </c>
      <c r="AZ72" s="24">
        <v>0</v>
      </c>
      <c r="BA72" s="24">
        <v>1640.46</v>
      </c>
      <c r="BB72" s="24">
        <v>0</v>
      </c>
      <c r="BC72" s="24">
        <v>1640.46</v>
      </c>
      <c r="BD72" s="24">
        <v>0</v>
      </c>
      <c r="BE72" s="24">
        <v>9526.29</v>
      </c>
      <c r="BF72" s="24">
        <v>0</v>
      </c>
      <c r="BG72" s="24">
        <v>7513.55</v>
      </c>
      <c r="BH72" s="24">
        <v>0</v>
      </c>
      <c r="BI72" s="24">
        <v>1830.46</v>
      </c>
      <c r="BJ72" s="9">
        <f t="shared" si="29"/>
        <v>0</v>
      </c>
      <c r="BK72" s="9">
        <f t="shared" si="30"/>
        <v>74624.66</v>
      </c>
      <c r="BL72" s="153">
        <f t="shared" si="31"/>
        <v>74624.66</v>
      </c>
      <c r="BM72" s="154"/>
      <c r="BN72" s="154"/>
      <c r="BO72" s="154"/>
      <c r="BP72" s="154"/>
      <c r="BQ72" s="154"/>
      <c r="BR72" s="155">
        <f t="shared" si="44"/>
        <v>74624.66</v>
      </c>
      <c r="BS72" s="154">
        <f>1730.59+1754.63</f>
        <v>3485.2200000000003</v>
      </c>
      <c r="BT72" s="199"/>
      <c r="BU72" s="20">
        <f t="shared" si="42"/>
        <v>-54007.618</v>
      </c>
      <c r="BV72" s="231">
        <v>457052.43</v>
      </c>
      <c r="BW72" s="229"/>
      <c r="BX72" s="230"/>
    </row>
    <row r="73" spans="1:76" ht="15.75">
      <c r="A73" s="1">
        <v>66</v>
      </c>
      <c r="B73" s="1" t="s">
        <v>332</v>
      </c>
      <c r="C73" s="1">
        <v>379.7</v>
      </c>
      <c r="D73" s="1">
        <v>0</v>
      </c>
      <c r="E73" s="1">
        <f t="shared" si="23"/>
        <v>379.7</v>
      </c>
      <c r="F73" s="2">
        <v>13.01</v>
      </c>
      <c r="G73" s="2">
        <f t="shared" si="24"/>
        <v>4939.897</v>
      </c>
      <c r="H73" s="2">
        <f>G73*6</f>
        <v>29639.381999999998</v>
      </c>
      <c r="I73" s="2">
        <f t="shared" si="32"/>
        <v>13.01</v>
      </c>
      <c r="J73" s="2">
        <f t="shared" si="33"/>
        <v>4939.897</v>
      </c>
      <c r="K73" s="2">
        <f t="shared" si="26"/>
        <v>29639.381999999998</v>
      </c>
      <c r="L73" s="97">
        <f t="shared" si="27"/>
        <v>59278.763999999996</v>
      </c>
      <c r="M73" s="109">
        <v>3.92</v>
      </c>
      <c r="N73" s="89">
        <f t="shared" si="34"/>
        <v>17861.088</v>
      </c>
      <c r="O73" s="64">
        <v>1.46</v>
      </c>
      <c r="P73" s="90">
        <f t="shared" si="35"/>
        <v>6652.343999999999</v>
      </c>
      <c r="Q73" s="64"/>
      <c r="R73" s="90">
        <f t="shared" si="36"/>
        <v>0</v>
      </c>
      <c r="S73" s="64"/>
      <c r="T73" s="91">
        <f t="shared" si="37"/>
        <v>0</v>
      </c>
      <c r="U73" s="64">
        <v>0</v>
      </c>
      <c r="V73" s="90">
        <f t="shared" si="38"/>
        <v>0</v>
      </c>
      <c r="W73" s="96"/>
      <c r="X73" s="91">
        <f t="shared" si="39"/>
        <v>0</v>
      </c>
      <c r="Y73" s="110">
        <f t="shared" si="43"/>
        <v>24513.432</v>
      </c>
      <c r="Z73" s="32">
        <v>-18329.2</v>
      </c>
      <c r="AA73" s="12">
        <f t="shared" si="40"/>
        <v>-0.3092034779942443</v>
      </c>
      <c r="AB73" s="25">
        <f t="shared" si="41"/>
        <v>40949.564</v>
      </c>
      <c r="AC73" s="44"/>
      <c r="AD73" s="8">
        <f t="shared" si="28"/>
        <v>40949.564</v>
      </c>
      <c r="AE73" s="167">
        <v>15153.408000000001</v>
      </c>
      <c r="AF73" s="168">
        <v>0</v>
      </c>
      <c r="AG73" s="168">
        <v>3412.4636666666665</v>
      </c>
      <c r="AH73" s="168">
        <v>0</v>
      </c>
      <c r="AI73" s="168">
        <v>40949.564</v>
      </c>
      <c r="AJ73" s="59" t="s">
        <v>296</v>
      </c>
      <c r="AK73" s="58"/>
      <c r="AL73" s="45">
        <v>0</v>
      </c>
      <c r="AM73" s="45">
        <v>1266.58</v>
      </c>
      <c r="AN73" s="2">
        <v>0</v>
      </c>
      <c r="AO73" s="2">
        <v>1266.58</v>
      </c>
      <c r="AP73" s="1">
        <v>0</v>
      </c>
      <c r="AQ73" s="1">
        <v>6074.84</v>
      </c>
      <c r="AR73" s="24">
        <v>0</v>
      </c>
      <c r="AS73" s="24">
        <v>3045.08</v>
      </c>
      <c r="AT73" s="1">
        <v>0</v>
      </c>
      <c r="AU73" s="1">
        <v>1266.58</v>
      </c>
      <c r="AV73" s="24">
        <v>0</v>
      </c>
      <c r="AW73" s="24">
        <v>1266.58</v>
      </c>
      <c r="AX73" s="45">
        <v>0</v>
      </c>
      <c r="AY73" s="45">
        <v>1266.58</v>
      </c>
      <c r="AZ73" s="24">
        <v>0</v>
      </c>
      <c r="BA73" s="24">
        <v>1266.58</v>
      </c>
      <c r="BB73" s="24">
        <v>0</v>
      </c>
      <c r="BC73" s="24">
        <v>1266.58</v>
      </c>
      <c r="BD73" s="24">
        <v>0</v>
      </c>
      <c r="BE73" s="24">
        <v>1266.58</v>
      </c>
      <c r="BF73" s="24">
        <v>0</v>
      </c>
      <c r="BG73" s="24">
        <v>2774.58</v>
      </c>
      <c r="BH73" s="24">
        <v>0</v>
      </c>
      <c r="BI73" s="24">
        <v>1266.58</v>
      </c>
      <c r="BJ73" s="9">
        <f t="shared" si="29"/>
        <v>0</v>
      </c>
      <c r="BK73" s="9">
        <f t="shared" si="30"/>
        <v>23293.72000000001</v>
      </c>
      <c r="BL73" s="153">
        <f t="shared" si="31"/>
        <v>23293.72000000001</v>
      </c>
      <c r="BM73" s="154"/>
      <c r="BN73" s="154"/>
      <c r="BO73" s="154"/>
      <c r="BP73" s="154"/>
      <c r="BQ73" s="154"/>
      <c r="BR73" s="155">
        <f t="shared" si="44"/>
        <v>23293.72000000001</v>
      </c>
      <c r="BS73" s="154">
        <f>1093.54+1108.72</f>
        <v>2202.26</v>
      </c>
      <c r="BT73" s="199"/>
      <c r="BU73" s="20">
        <f t="shared" si="42"/>
        <v>19858.103999999992</v>
      </c>
      <c r="BV73" s="231">
        <v>181403.68</v>
      </c>
      <c r="BW73" s="229"/>
      <c r="BX73" s="230"/>
    </row>
    <row r="74" spans="1:76" ht="15.75" customHeight="1">
      <c r="A74" s="1">
        <v>67</v>
      </c>
      <c r="B74" s="1" t="s">
        <v>63</v>
      </c>
      <c r="C74" s="1">
        <v>377.8</v>
      </c>
      <c r="D74" s="1">
        <v>0</v>
      </c>
      <c r="E74" s="1">
        <f t="shared" si="23"/>
        <v>377.8</v>
      </c>
      <c r="F74" s="2">
        <v>10.8</v>
      </c>
      <c r="G74" s="2">
        <f t="shared" si="24"/>
        <v>4080.2400000000002</v>
      </c>
      <c r="H74" s="2">
        <f t="shared" si="25"/>
        <v>24481.440000000002</v>
      </c>
      <c r="I74" s="2">
        <f t="shared" si="32"/>
        <v>10.8</v>
      </c>
      <c r="J74" s="2">
        <f t="shared" si="33"/>
        <v>4080.2400000000002</v>
      </c>
      <c r="K74" s="2">
        <f t="shared" si="26"/>
        <v>24481.440000000002</v>
      </c>
      <c r="L74" s="97">
        <f t="shared" si="27"/>
        <v>48962.880000000005</v>
      </c>
      <c r="M74" s="109">
        <v>3.92</v>
      </c>
      <c r="N74" s="89">
        <f t="shared" si="34"/>
        <v>17771.712</v>
      </c>
      <c r="O74" s="64">
        <v>1.46</v>
      </c>
      <c r="P74" s="90">
        <f t="shared" si="35"/>
        <v>6619.056</v>
      </c>
      <c r="Q74" s="64"/>
      <c r="R74" s="90">
        <f t="shared" si="36"/>
        <v>0</v>
      </c>
      <c r="S74" s="64"/>
      <c r="T74" s="91">
        <f t="shared" si="37"/>
        <v>0</v>
      </c>
      <c r="U74" s="64">
        <v>0</v>
      </c>
      <c r="V74" s="90">
        <f t="shared" si="38"/>
        <v>0</v>
      </c>
      <c r="W74" s="96">
        <v>3.01</v>
      </c>
      <c r="X74" s="91">
        <f t="shared" si="39"/>
        <v>13646.135999999999</v>
      </c>
      <c r="Y74" s="110">
        <f t="shared" si="43"/>
        <v>38036.903999999995</v>
      </c>
      <c r="Z74" s="32">
        <v>-126781.7</v>
      </c>
      <c r="AA74" s="12">
        <f t="shared" si="40"/>
        <v>-2.589343192230522</v>
      </c>
      <c r="AB74" s="25">
        <f t="shared" si="41"/>
        <v>-77818.81999999999</v>
      </c>
      <c r="AC74" s="44"/>
      <c r="AD74" s="8">
        <f t="shared" si="28"/>
        <v>-77818.81999999999</v>
      </c>
      <c r="AE74" s="167">
        <v>15091.392000000003</v>
      </c>
      <c r="AF74" s="168">
        <v>0</v>
      </c>
      <c r="AG74" s="168">
        <v>1257.6160000000002</v>
      </c>
      <c r="AH74" s="168">
        <v>0</v>
      </c>
      <c r="AI74" s="168">
        <v>15091.392000000003</v>
      </c>
      <c r="AJ74" s="59" t="s">
        <v>296</v>
      </c>
      <c r="AK74" s="26" t="s">
        <v>352</v>
      </c>
      <c r="AL74" s="45">
        <v>0</v>
      </c>
      <c r="AM74" s="45">
        <v>1261.39</v>
      </c>
      <c r="AN74" s="2">
        <v>0</v>
      </c>
      <c r="AO74" s="2">
        <v>1261.39</v>
      </c>
      <c r="AP74" s="1">
        <v>0</v>
      </c>
      <c r="AQ74" s="1">
        <v>6069.65</v>
      </c>
      <c r="AR74" s="24">
        <v>0</v>
      </c>
      <c r="AS74" s="24">
        <v>1959.89</v>
      </c>
      <c r="AT74" s="1">
        <v>0</v>
      </c>
      <c r="AU74" s="1">
        <v>1261.39</v>
      </c>
      <c r="AV74" s="24">
        <v>0</v>
      </c>
      <c r="AW74" s="24">
        <v>1261.39</v>
      </c>
      <c r="AX74" s="45">
        <v>0</v>
      </c>
      <c r="AY74" s="45">
        <v>2341.39</v>
      </c>
      <c r="AZ74" s="24">
        <v>0</v>
      </c>
      <c r="BA74" s="24">
        <v>1261.39</v>
      </c>
      <c r="BB74" s="24">
        <v>0</v>
      </c>
      <c r="BC74" s="24">
        <v>1261.39</v>
      </c>
      <c r="BD74" s="24">
        <v>0</v>
      </c>
      <c r="BE74" s="24">
        <v>3389.97</v>
      </c>
      <c r="BF74" s="24">
        <v>0</v>
      </c>
      <c r="BG74" s="24">
        <v>3849.39</v>
      </c>
      <c r="BH74" s="24">
        <v>0</v>
      </c>
      <c r="BI74" s="24">
        <v>1261.39</v>
      </c>
      <c r="BJ74" s="9">
        <f t="shared" si="29"/>
        <v>0</v>
      </c>
      <c r="BK74" s="9">
        <f t="shared" si="30"/>
        <v>26440.019999999997</v>
      </c>
      <c r="BL74" s="153">
        <f t="shared" si="31"/>
        <v>26440.019999999997</v>
      </c>
      <c r="BM74" s="154"/>
      <c r="BN74" s="154"/>
      <c r="BO74" s="154"/>
      <c r="BP74" s="154"/>
      <c r="BQ74" s="154"/>
      <c r="BR74" s="155">
        <f t="shared" si="44"/>
        <v>26440.019999999997</v>
      </c>
      <c r="BS74" s="154">
        <f>1088.06+1103.18</f>
        <v>2191.24</v>
      </c>
      <c r="BT74" s="199"/>
      <c r="BU74" s="20">
        <f t="shared" si="42"/>
        <v>-102067.59999999999</v>
      </c>
      <c r="BV74" s="231">
        <v>641549.61</v>
      </c>
      <c r="BW74" s="229"/>
      <c r="BX74" s="230"/>
    </row>
    <row r="75" spans="1:76" ht="15.75">
      <c r="A75" s="1">
        <v>68</v>
      </c>
      <c r="B75" s="1" t="s">
        <v>64</v>
      </c>
      <c r="C75" s="1">
        <v>363.5</v>
      </c>
      <c r="D75" s="1">
        <v>0</v>
      </c>
      <c r="E75" s="1">
        <f t="shared" si="23"/>
        <v>363.5</v>
      </c>
      <c r="F75" s="2">
        <v>10.8</v>
      </c>
      <c r="G75" s="2">
        <f t="shared" si="24"/>
        <v>3925.8</v>
      </c>
      <c r="H75" s="2">
        <f t="shared" si="25"/>
        <v>23554.800000000003</v>
      </c>
      <c r="I75" s="2">
        <f t="shared" si="32"/>
        <v>10.8</v>
      </c>
      <c r="J75" s="2">
        <f t="shared" si="33"/>
        <v>3925.8</v>
      </c>
      <c r="K75" s="2">
        <f t="shared" si="26"/>
        <v>23554.800000000003</v>
      </c>
      <c r="L75" s="97">
        <f t="shared" si="27"/>
        <v>47109.600000000006</v>
      </c>
      <c r="M75" s="109">
        <v>3.92</v>
      </c>
      <c r="N75" s="89">
        <f t="shared" si="34"/>
        <v>17099.04</v>
      </c>
      <c r="O75" s="64">
        <v>1.46</v>
      </c>
      <c r="P75" s="90">
        <f t="shared" si="35"/>
        <v>6368.52</v>
      </c>
      <c r="Q75" s="64"/>
      <c r="R75" s="90">
        <f t="shared" si="36"/>
        <v>0</v>
      </c>
      <c r="S75" s="64"/>
      <c r="T75" s="91">
        <f t="shared" si="37"/>
        <v>0</v>
      </c>
      <c r="U75" s="64">
        <v>0</v>
      </c>
      <c r="V75" s="90">
        <f t="shared" si="38"/>
        <v>0</v>
      </c>
      <c r="W75" s="96">
        <v>3.01</v>
      </c>
      <c r="X75" s="91">
        <f t="shared" si="39"/>
        <v>13129.619999999999</v>
      </c>
      <c r="Y75" s="110">
        <f t="shared" si="43"/>
        <v>36597.18</v>
      </c>
      <c r="Z75" s="32">
        <v>-31923.43</v>
      </c>
      <c r="AA75" s="12">
        <f t="shared" si="40"/>
        <v>-0.677641712092652</v>
      </c>
      <c r="AB75" s="25">
        <f t="shared" si="41"/>
        <v>15186.170000000006</v>
      </c>
      <c r="AC75" s="44"/>
      <c r="AD75" s="8">
        <f t="shared" si="28"/>
        <v>15186.170000000006</v>
      </c>
      <c r="AE75" s="167">
        <v>14624.64</v>
      </c>
      <c r="AF75" s="168">
        <v>0</v>
      </c>
      <c r="AG75" s="168">
        <v>1265.514166666667</v>
      </c>
      <c r="AH75" s="168">
        <v>0</v>
      </c>
      <c r="AI75" s="168">
        <v>15186.170000000006</v>
      </c>
      <c r="AJ75" s="59" t="s">
        <v>296</v>
      </c>
      <c r="AK75" s="58"/>
      <c r="AL75" s="45">
        <v>0</v>
      </c>
      <c r="AM75" s="45">
        <v>1222.36</v>
      </c>
      <c r="AN75" s="2">
        <v>0</v>
      </c>
      <c r="AO75" s="2">
        <v>1222.36</v>
      </c>
      <c r="AP75" s="1">
        <v>0</v>
      </c>
      <c r="AQ75" s="1">
        <v>6030.62</v>
      </c>
      <c r="AR75" s="24">
        <v>0</v>
      </c>
      <c r="AS75" s="24">
        <v>4300.9</v>
      </c>
      <c r="AT75" s="1">
        <v>0</v>
      </c>
      <c r="AU75" s="1">
        <v>1222.36</v>
      </c>
      <c r="AV75" s="24">
        <v>0</v>
      </c>
      <c r="AW75" s="24">
        <v>1222.36</v>
      </c>
      <c r="AX75" s="45">
        <v>0</v>
      </c>
      <c r="AY75" s="45">
        <v>6622.36</v>
      </c>
      <c r="AZ75" s="24">
        <v>0</v>
      </c>
      <c r="BA75" s="24">
        <v>1222.36</v>
      </c>
      <c r="BB75" s="24">
        <v>0</v>
      </c>
      <c r="BC75" s="24">
        <v>2086.36</v>
      </c>
      <c r="BD75" s="24">
        <v>0</v>
      </c>
      <c r="BE75" s="24">
        <v>5510.94</v>
      </c>
      <c r="BF75" s="24">
        <v>0</v>
      </c>
      <c r="BG75" s="24">
        <v>3810.36</v>
      </c>
      <c r="BH75" s="24">
        <v>0</v>
      </c>
      <c r="BI75" s="24">
        <v>1222.36</v>
      </c>
      <c r="BJ75" s="9">
        <f t="shared" si="29"/>
        <v>0</v>
      </c>
      <c r="BK75" s="9">
        <f t="shared" si="30"/>
        <v>35695.7</v>
      </c>
      <c r="BL75" s="153">
        <f t="shared" si="31"/>
        <v>35695.7</v>
      </c>
      <c r="BM75" s="154"/>
      <c r="BN75" s="154"/>
      <c r="BO75" s="154"/>
      <c r="BP75" s="154"/>
      <c r="BQ75" s="154"/>
      <c r="BR75" s="155">
        <f t="shared" si="44"/>
        <v>35695.7</v>
      </c>
      <c r="BS75" s="154">
        <f>1046.88+1061.42</f>
        <v>2108.3</v>
      </c>
      <c r="BT75" s="199"/>
      <c r="BU75" s="20">
        <f t="shared" si="42"/>
        <v>-18401.229999999992</v>
      </c>
      <c r="BV75" s="231">
        <v>93316.26</v>
      </c>
      <c r="BW75" s="229"/>
      <c r="BX75" s="230"/>
    </row>
    <row r="76" spans="1:76" ht="15.75">
      <c r="A76" s="1">
        <v>69</v>
      </c>
      <c r="B76" s="1" t="s">
        <v>65</v>
      </c>
      <c r="C76" s="1">
        <v>609.2</v>
      </c>
      <c r="D76" s="1">
        <v>0</v>
      </c>
      <c r="E76" s="1">
        <f t="shared" si="23"/>
        <v>609.2</v>
      </c>
      <c r="F76" s="2">
        <v>13.23</v>
      </c>
      <c r="G76" s="2">
        <f t="shared" si="24"/>
        <v>8059.716000000001</v>
      </c>
      <c r="H76" s="2">
        <f t="shared" si="25"/>
        <v>48358.29600000001</v>
      </c>
      <c r="I76" s="2">
        <f t="shared" si="32"/>
        <v>13.23</v>
      </c>
      <c r="J76" s="2">
        <f t="shared" si="33"/>
        <v>8059.716000000001</v>
      </c>
      <c r="K76" s="2">
        <f t="shared" si="26"/>
        <v>48358.29600000001</v>
      </c>
      <c r="L76" s="97">
        <f t="shared" si="27"/>
        <v>96716.59200000002</v>
      </c>
      <c r="M76" s="109">
        <v>3.92</v>
      </c>
      <c r="N76" s="89">
        <f t="shared" si="34"/>
        <v>28656.768000000004</v>
      </c>
      <c r="O76" s="64">
        <v>1.46</v>
      </c>
      <c r="P76" s="90">
        <f t="shared" si="35"/>
        <v>10673.184000000001</v>
      </c>
      <c r="Q76" s="64">
        <v>0.52</v>
      </c>
      <c r="R76" s="90">
        <f t="shared" si="36"/>
        <v>3801.4080000000004</v>
      </c>
      <c r="S76" s="64">
        <v>0.89</v>
      </c>
      <c r="T76" s="91">
        <f t="shared" si="37"/>
        <v>6506.256000000001</v>
      </c>
      <c r="U76" s="64">
        <v>0</v>
      </c>
      <c r="V76" s="90">
        <f t="shared" si="38"/>
        <v>0</v>
      </c>
      <c r="W76" s="96"/>
      <c r="X76" s="91">
        <f t="shared" si="39"/>
        <v>0</v>
      </c>
      <c r="Y76" s="110">
        <f t="shared" si="43"/>
        <v>49637.61600000001</v>
      </c>
      <c r="Z76" s="32">
        <v>-18785.61</v>
      </c>
      <c r="AA76" s="12">
        <f t="shared" si="40"/>
        <v>-0.19423358093510984</v>
      </c>
      <c r="AB76" s="25">
        <f t="shared" si="41"/>
        <v>77930.98200000002</v>
      </c>
      <c r="AC76" s="44"/>
      <c r="AD76" s="8">
        <f t="shared" si="28"/>
        <v>77930.98200000002</v>
      </c>
      <c r="AE76" s="167">
        <v>22644.288000000004</v>
      </c>
      <c r="AF76" s="168">
        <v>0</v>
      </c>
      <c r="AG76" s="168">
        <v>6494.2485000000015</v>
      </c>
      <c r="AH76" s="168">
        <v>0</v>
      </c>
      <c r="AI76" s="168">
        <v>77930.98200000002</v>
      </c>
      <c r="AJ76" s="59" t="s">
        <v>296</v>
      </c>
      <c r="AK76" s="59"/>
      <c r="AL76" s="45">
        <v>0</v>
      </c>
      <c r="AM76" s="45">
        <v>5359.96</v>
      </c>
      <c r="AN76" s="2">
        <v>0</v>
      </c>
      <c r="AO76" s="2">
        <v>1893.12</v>
      </c>
      <c r="AP76" s="1">
        <v>0</v>
      </c>
      <c r="AQ76" s="1">
        <v>8786.62</v>
      </c>
      <c r="AR76" s="24">
        <v>0</v>
      </c>
      <c r="AS76" s="24">
        <v>2591.62</v>
      </c>
      <c r="AT76" s="1">
        <v>0</v>
      </c>
      <c r="AU76" s="1">
        <v>1893.12</v>
      </c>
      <c r="AV76" s="24">
        <v>0</v>
      </c>
      <c r="AW76" s="24">
        <v>1893.12</v>
      </c>
      <c r="AX76" s="45">
        <v>0</v>
      </c>
      <c r="AY76" s="45">
        <v>1893.12</v>
      </c>
      <c r="AZ76" s="24">
        <v>0</v>
      </c>
      <c r="BA76" s="24">
        <v>1893.12</v>
      </c>
      <c r="BB76" s="24">
        <v>0</v>
      </c>
      <c r="BC76" s="24">
        <v>1893.12</v>
      </c>
      <c r="BD76" s="24">
        <v>0</v>
      </c>
      <c r="BE76" s="24">
        <v>3300.73</v>
      </c>
      <c r="BF76" s="24">
        <v>0</v>
      </c>
      <c r="BG76" s="24">
        <v>4265.12</v>
      </c>
      <c r="BH76" s="24">
        <v>0</v>
      </c>
      <c r="BI76" s="24">
        <v>5236.86</v>
      </c>
      <c r="BJ76" s="9">
        <f t="shared" si="29"/>
        <v>0</v>
      </c>
      <c r="BK76" s="9">
        <f t="shared" si="30"/>
        <v>40899.63</v>
      </c>
      <c r="BL76" s="153">
        <f t="shared" si="31"/>
        <v>40899.63</v>
      </c>
      <c r="BM76" s="154"/>
      <c r="BN76" s="154">
        <v>18617.11</v>
      </c>
      <c r="BO76" s="154">
        <v>473.95</v>
      </c>
      <c r="BP76" s="154"/>
      <c r="BQ76" s="154"/>
      <c r="BR76" s="155">
        <f t="shared" si="44"/>
        <v>59990.689999999995</v>
      </c>
      <c r="BS76" s="154">
        <f>1754.5+1778.86</f>
        <v>3533.3599999999997</v>
      </c>
      <c r="BT76" s="199"/>
      <c r="BU76" s="20">
        <f t="shared" si="42"/>
        <v>21473.652000000024</v>
      </c>
      <c r="BV76" s="231">
        <v>77873.56</v>
      </c>
      <c r="BW76" s="229"/>
      <c r="BX76" s="230"/>
    </row>
    <row r="77" spans="1:76" ht="15.75">
      <c r="A77" s="1">
        <v>70</v>
      </c>
      <c r="B77" s="1" t="s">
        <v>66</v>
      </c>
      <c r="C77" s="1">
        <v>465</v>
      </c>
      <c r="D77" s="1">
        <v>0</v>
      </c>
      <c r="E77" s="1">
        <f t="shared" si="23"/>
        <v>465</v>
      </c>
      <c r="F77" s="2">
        <v>13.23</v>
      </c>
      <c r="G77" s="2">
        <f t="shared" si="24"/>
        <v>6151.95</v>
      </c>
      <c r="H77" s="2">
        <f t="shared" si="25"/>
        <v>36911.7</v>
      </c>
      <c r="I77" s="2">
        <f t="shared" si="32"/>
        <v>13.23</v>
      </c>
      <c r="J77" s="2">
        <f t="shared" si="33"/>
        <v>6151.95</v>
      </c>
      <c r="K77" s="2">
        <f t="shared" si="26"/>
        <v>36911.7</v>
      </c>
      <c r="L77" s="97">
        <f t="shared" si="27"/>
        <v>73823.4</v>
      </c>
      <c r="M77" s="109">
        <v>3.92</v>
      </c>
      <c r="N77" s="89">
        <f t="shared" si="34"/>
        <v>21873.6</v>
      </c>
      <c r="O77" s="64">
        <v>1.46</v>
      </c>
      <c r="P77" s="90">
        <f t="shared" si="35"/>
        <v>8146.799999999999</v>
      </c>
      <c r="Q77" s="64">
        <v>0.52</v>
      </c>
      <c r="R77" s="90">
        <f t="shared" si="36"/>
        <v>2901.6000000000004</v>
      </c>
      <c r="S77" s="64">
        <v>0.89</v>
      </c>
      <c r="T77" s="91">
        <f t="shared" si="37"/>
        <v>4966.200000000001</v>
      </c>
      <c r="U77" s="64">
        <v>0</v>
      </c>
      <c r="V77" s="90">
        <f t="shared" si="38"/>
        <v>0</v>
      </c>
      <c r="W77" s="96"/>
      <c r="X77" s="91">
        <f t="shared" si="39"/>
        <v>0</v>
      </c>
      <c r="Y77" s="110">
        <f t="shared" si="43"/>
        <v>37888.2</v>
      </c>
      <c r="Z77" s="32">
        <v>-229769.2</v>
      </c>
      <c r="AA77" s="12">
        <f t="shared" si="40"/>
        <v>-3.1124169301332643</v>
      </c>
      <c r="AB77" s="25">
        <f t="shared" si="41"/>
        <v>-155945.80000000002</v>
      </c>
      <c r="AC77" s="44"/>
      <c r="AD77" s="8">
        <f t="shared" si="28"/>
        <v>-155945.80000000002</v>
      </c>
      <c r="AE77" s="167">
        <v>17937.600000000002</v>
      </c>
      <c r="AF77" s="168">
        <v>0</v>
      </c>
      <c r="AG77" s="168">
        <v>1494.8000000000002</v>
      </c>
      <c r="AH77" s="168">
        <v>0</v>
      </c>
      <c r="AI77" s="168">
        <v>17937.600000000002</v>
      </c>
      <c r="AJ77" s="59" t="s">
        <v>296</v>
      </c>
      <c r="AK77" s="26" t="s">
        <v>352</v>
      </c>
      <c r="AL77" s="45">
        <v>0</v>
      </c>
      <c r="AM77" s="45">
        <v>1499.45</v>
      </c>
      <c r="AN77" s="2">
        <v>0</v>
      </c>
      <c r="AO77" s="2">
        <v>1499.45</v>
      </c>
      <c r="AP77" s="1">
        <v>0</v>
      </c>
      <c r="AQ77" s="1">
        <v>8392.95</v>
      </c>
      <c r="AR77" s="24">
        <v>0</v>
      </c>
      <c r="AS77" s="24">
        <v>2197.95</v>
      </c>
      <c r="AT77" s="1">
        <v>0</v>
      </c>
      <c r="AU77" s="1">
        <v>5205.18</v>
      </c>
      <c r="AV77" s="24">
        <v>0</v>
      </c>
      <c r="AW77" s="24">
        <v>2948.25</v>
      </c>
      <c r="AX77" s="45">
        <v>0</v>
      </c>
      <c r="AY77" s="45">
        <v>1499.45</v>
      </c>
      <c r="AZ77" s="24">
        <v>0</v>
      </c>
      <c r="BA77" s="24">
        <v>8091.2</v>
      </c>
      <c r="BB77" s="24">
        <v>0</v>
      </c>
      <c r="BC77" s="24">
        <v>-629.13</v>
      </c>
      <c r="BD77" s="24">
        <v>0</v>
      </c>
      <c r="BE77" s="24">
        <v>2579.45</v>
      </c>
      <c r="BF77" s="24">
        <v>0</v>
      </c>
      <c r="BG77" s="24">
        <v>3007.45</v>
      </c>
      <c r="BH77" s="24">
        <v>0</v>
      </c>
      <c r="BI77" s="24">
        <v>1499.45</v>
      </c>
      <c r="BJ77" s="9">
        <f t="shared" si="29"/>
        <v>0</v>
      </c>
      <c r="BK77" s="9">
        <f t="shared" si="30"/>
        <v>37791.09999999999</v>
      </c>
      <c r="BL77" s="153">
        <f t="shared" si="31"/>
        <v>37791.09999999999</v>
      </c>
      <c r="BM77" s="154"/>
      <c r="BN77" s="154">
        <f>3489+18617.11</f>
        <v>22106.11</v>
      </c>
      <c r="BO77" s="154">
        <v>361.77</v>
      </c>
      <c r="BP77" s="154"/>
      <c r="BQ77" s="154"/>
      <c r="BR77" s="155">
        <f t="shared" si="44"/>
        <v>60258.97999999999</v>
      </c>
      <c r="BS77" s="154">
        <f>1339.2+1354</f>
        <v>2693.2</v>
      </c>
      <c r="BT77" s="199"/>
      <c r="BU77" s="20">
        <f t="shared" si="42"/>
        <v>-213511.58</v>
      </c>
      <c r="BV77" s="231">
        <v>98791.56</v>
      </c>
      <c r="BW77" s="229"/>
      <c r="BX77" s="230"/>
    </row>
    <row r="78" spans="1:76" ht="15.75">
      <c r="A78" s="1">
        <v>71</v>
      </c>
      <c r="B78" s="1" t="s">
        <v>67</v>
      </c>
      <c r="C78" s="1">
        <v>5597.7</v>
      </c>
      <c r="D78" s="1">
        <v>251.2</v>
      </c>
      <c r="E78" s="1">
        <f t="shared" si="23"/>
        <v>5848.9</v>
      </c>
      <c r="F78" s="2">
        <v>15.85</v>
      </c>
      <c r="G78" s="2">
        <f t="shared" si="24"/>
        <v>92705.06499999999</v>
      </c>
      <c r="H78" s="2">
        <f t="shared" si="25"/>
        <v>556230.3899999999</v>
      </c>
      <c r="I78" s="2">
        <f t="shared" si="32"/>
        <v>15.85</v>
      </c>
      <c r="J78" s="2">
        <f t="shared" si="33"/>
        <v>92705.06499999999</v>
      </c>
      <c r="K78" s="2">
        <f t="shared" si="26"/>
        <v>556230.3899999999</v>
      </c>
      <c r="L78" s="97">
        <f t="shared" si="27"/>
        <v>1112460.7799999998</v>
      </c>
      <c r="M78" s="109">
        <v>3.92</v>
      </c>
      <c r="N78" s="89">
        <f t="shared" si="34"/>
        <v>275132.256</v>
      </c>
      <c r="O78" s="64">
        <v>1.46</v>
      </c>
      <c r="P78" s="90">
        <f t="shared" si="35"/>
        <v>102472.72799999997</v>
      </c>
      <c r="Q78" s="64">
        <v>0.52</v>
      </c>
      <c r="R78" s="90">
        <f t="shared" si="36"/>
        <v>36497.136</v>
      </c>
      <c r="S78" s="64">
        <v>0.89</v>
      </c>
      <c r="T78" s="91">
        <f t="shared" si="37"/>
        <v>62466.25199999999</v>
      </c>
      <c r="U78" s="64">
        <v>0.32</v>
      </c>
      <c r="V78" s="90">
        <f t="shared" si="38"/>
        <v>22459.775999999998</v>
      </c>
      <c r="W78" s="96"/>
      <c r="X78" s="91">
        <f t="shared" si="39"/>
        <v>0</v>
      </c>
      <c r="Y78" s="110">
        <f t="shared" si="43"/>
        <v>499028.1479999999</v>
      </c>
      <c r="Z78" s="32"/>
      <c r="AA78" s="12">
        <f t="shared" si="40"/>
        <v>0</v>
      </c>
      <c r="AB78" s="25">
        <f t="shared" si="41"/>
        <v>1112460.7799999998</v>
      </c>
      <c r="AC78" s="44"/>
      <c r="AD78" s="8">
        <f t="shared" si="28"/>
        <v>1112460.7799999998</v>
      </c>
      <c r="AE78" s="167">
        <v>385884.98400000005</v>
      </c>
      <c r="AF78" s="168">
        <v>0</v>
      </c>
      <c r="AG78" s="168">
        <v>92705.06499999999</v>
      </c>
      <c r="AH78" s="168">
        <v>0</v>
      </c>
      <c r="AI78" s="168">
        <v>1112460.7799999998</v>
      </c>
      <c r="AJ78" s="59"/>
      <c r="AK78" s="59"/>
      <c r="AL78" s="45">
        <v>0</v>
      </c>
      <c r="AM78" s="45">
        <v>96073.86</v>
      </c>
      <c r="AN78" s="2">
        <v>0</v>
      </c>
      <c r="AO78" s="2">
        <v>32145.17</v>
      </c>
      <c r="AP78" s="1">
        <v>0</v>
      </c>
      <c r="AQ78" s="1">
        <v>53146.14</v>
      </c>
      <c r="AR78" s="24">
        <v>0</v>
      </c>
      <c r="AS78" s="24">
        <v>53561.62</v>
      </c>
      <c r="AT78" s="1">
        <v>0</v>
      </c>
      <c r="AU78" s="1">
        <v>81228.16</v>
      </c>
      <c r="AV78" s="24">
        <v>0</v>
      </c>
      <c r="AW78" s="24">
        <v>46720.18</v>
      </c>
      <c r="AX78" s="45">
        <v>0</v>
      </c>
      <c r="AY78" s="45">
        <v>43323.9</v>
      </c>
      <c r="AZ78" s="24">
        <v>0</v>
      </c>
      <c r="BA78" s="24">
        <v>91075.18</v>
      </c>
      <c r="BB78" s="24">
        <v>0</v>
      </c>
      <c r="BC78" s="24">
        <v>52906.27</v>
      </c>
      <c r="BD78" s="24">
        <v>0</v>
      </c>
      <c r="BE78" s="24">
        <v>55066.99</v>
      </c>
      <c r="BF78" s="24">
        <v>0</v>
      </c>
      <c r="BG78" s="24">
        <v>41862.93</v>
      </c>
      <c r="BH78" s="24">
        <v>0</v>
      </c>
      <c r="BI78" s="24">
        <v>58600.39</v>
      </c>
      <c r="BJ78" s="9">
        <f t="shared" si="29"/>
        <v>0</v>
      </c>
      <c r="BK78" s="9">
        <f t="shared" si="30"/>
        <v>705710.79</v>
      </c>
      <c r="BL78" s="153">
        <f t="shared" si="31"/>
        <v>705710.79</v>
      </c>
      <c r="BM78" s="154"/>
      <c r="BN78" s="154"/>
      <c r="BO78" s="154">
        <v>4550.77</v>
      </c>
      <c r="BP78" s="154"/>
      <c r="BQ78" s="154"/>
      <c r="BR78" s="155">
        <f t="shared" si="44"/>
        <v>710261.56</v>
      </c>
      <c r="BS78" s="198">
        <v>8540.12</v>
      </c>
      <c r="BT78" s="199"/>
      <c r="BU78" s="20">
        <f t="shared" si="42"/>
        <v>410739.33999999973</v>
      </c>
      <c r="BV78" s="231">
        <v>783397.05</v>
      </c>
      <c r="BW78" s="229"/>
      <c r="BX78" s="230"/>
    </row>
    <row r="79" spans="1:76" ht="15.75">
      <c r="A79" s="1">
        <v>72</v>
      </c>
      <c r="B79" s="1" t="s">
        <v>68</v>
      </c>
      <c r="C79" s="1">
        <v>469.8</v>
      </c>
      <c r="D79" s="1">
        <v>0</v>
      </c>
      <c r="E79" s="1">
        <f t="shared" si="23"/>
        <v>469.8</v>
      </c>
      <c r="F79" s="2">
        <v>10.58</v>
      </c>
      <c r="G79" s="2">
        <f t="shared" si="24"/>
        <v>4970.484</v>
      </c>
      <c r="H79" s="2">
        <f t="shared" si="25"/>
        <v>29822.904000000002</v>
      </c>
      <c r="I79" s="2">
        <f t="shared" si="32"/>
        <v>10.58</v>
      </c>
      <c r="J79" s="2">
        <f t="shared" si="33"/>
        <v>4970.484</v>
      </c>
      <c r="K79" s="2">
        <f t="shared" si="26"/>
        <v>29822.904000000002</v>
      </c>
      <c r="L79" s="97">
        <f t="shared" si="27"/>
        <v>59645.808000000005</v>
      </c>
      <c r="M79" s="109">
        <v>3.92</v>
      </c>
      <c r="N79" s="89">
        <f t="shared" si="34"/>
        <v>22099.392</v>
      </c>
      <c r="O79" s="64">
        <v>1.46</v>
      </c>
      <c r="P79" s="90">
        <f t="shared" si="35"/>
        <v>8230.896</v>
      </c>
      <c r="Q79" s="64">
        <v>0.52</v>
      </c>
      <c r="R79" s="90">
        <f t="shared" si="36"/>
        <v>2931.552</v>
      </c>
      <c r="S79" s="64">
        <v>0.89</v>
      </c>
      <c r="T79" s="91">
        <f t="shared" si="37"/>
        <v>5017.464</v>
      </c>
      <c r="U79" s="64">
        <v>0</v>
      </c>
      <c r="V79" s="90">
        <f t="shared" si="38"/>
        <v>0</v>
      </c>
      <c r="W79" s="96"/>
      <c r="X79" s="91">
        <f t="shared" si="39"/>
        <v>0</v>
      </c>
      <c r="Y79" s="110">
        <f t="shared" si="43"/>
        <v>38279.304000000004</v>
      </c>
      <c r="Z79" s="32">
        <v>-65033.35</v>
      </c>
      <c r="AA79" s="12">
        <f t="shared" si="40"/>
        <v>-1.0903255766105138</v>
      </c>
      <c r="AB79" s="25">
        <f t="shared" si="41"/>
        <v>-5387.541999999994</v>
      </c>
      <c r="AC79" s="44"/>
      <c r="AD79" s="8">
        <f t="shared" si="28"/>
        <v>-5387.541999999994</v>
      </c>
      <c r="AE79" s="167">
        <v>18094.272000000004</v>
      </c>
      <c r="AF79" s="168">
        <v>0</v>
      </c>
      <c r="AG79" s="168">
        <v>1507.8560000000004</v>
      </c>
      <c r="AH79" s="168">
        <v>0</v>
      </c>
      <c r="AI79" s="168">
        <v>18094.272000000004</v>
      </c>
      <c r="AJ79" s="59" t="s">
        <v>299</v>
      </c>
      <c r="AK79" s="26" t="s">
        <v>352</v>
      </c>
      <c r="AL79" s="45">
        <v>0</v>
      </c>
      <c r="AM79" s="45">
        <v>1512.55</v>
      </c>
      <c r="AN79" s="2">
        <v>0</v>
      </c>
      <c r="AO79" s="2">
        <v>1512.55</v>
      </c>
      <c r="AP79" s="1">
        <v>0</v>
      </c>
      <c r="AQ79" s="1">
        <v>8406.05</v>
      </c>
      <c r="AR79" s="24">
        <v>0</v>
      </c>
      <c r="AS79" s="24">
        <v>2211.05</v>
      </c>
      <c r="AT79" s="1">
        <v>0</v>
      </c>
      <c r="AU79" s="1">
        <v>3550.14</v>
      </c>
      <c r="AV79" s="24">
        <v>0</v>
      </c>
      <c r="AW79" s="24">
        <v>1512.55</v>
      </c>
      <c r="AX79" s="45">
        <v>0</v>
      </c>
      <c r="AY79" s="45">
        <v>8104.3</v>
      </c>
      <c r="AZ79" s="24">
        <v>0</v>
      </c>
      <c r="BA79" s="24">
        <v>2200.94</v>
      </c>
      <c r="BB79" s="24">
        <v>0</v>
      </c>
      <c r="BC79" s="24">
        <v>3031.3</v>
      </c>
      <c r="BD79" s="24">
        <v>0</v>
      </c>
      <c r="BE79" s="24">
        <v>1602.55</v>
      </c>
      <c r="BF79" s="24">
        <v>0</v>
      </c>
      <c r="BG79" s="24">
        <v>3020.55</v>
      </c>
      <c r="BH79" s="24">
        <v>0</v>
      </c>
      <c r="BI79" s="24">
        <v>1512.55</v>
      </c>
      <c r="BJ79" s="9">
        <f t="shared" si="29"/>
        <v>0</v>
      </c>
      <c r="BK79" s="9">
        <f t="shared" si="30"/>
        <v>38177.08</v>
      </c>
      <c r="BL79" s="153">
        <f t="shared" si="31"/>
        <v>38177.08</v>
      </c>
      <c r="BM79" s="154"/>
      <c r="BN79" s="154">
        <v>18617.11</v>
      </c>
      <c r="BO79" s="154">
        <v>365.5</v>
      </c>
      <c r="BP79" s="154"/>
      <c r="BQ79" s="154"/>
      <c r="BR79" s="155">
        <f t="shared" si="44"/>
        <v>57159.69</v>
      </c>
      <c r="BS79" s="154">
        <f>1353.02+1377.36</f>
        <v>2730.38</v>
      </c>
      <c r="BT79" s="199"/>
      <c r="BU79" s="20">
        <f t="shared" si="42"/>
        <v>-59816.852</v>
      </c>
      <c r="BV79" s="231">
        <v>174531.26</v>
      </c>
      <c r="BW79" s="229"/>
      <c r="BX79" s="230"/>
    </row>
    <row r="80" spans="1:76" ht="15.75" customHeight="1">
      <c r="A80" s="1">
        <v>73</v>
      </c>
      <c r="B80" s="1" t="s">
        <v>69</v>
      </c>
      <c r="C80" s="1">
        <v>475.5</v>
      </c>
      <c r="D80" s="1">
        <v>0</v>
      </c>
      <c r="E80" s="1">
        <f t="shared" si="23"/>
        <v>475.5</v>
      </c>
      <c r="F80" s="2">
        <v>10.58</v>
      </c>
      <c r="G80" s="2">
        <f t="shared" si="24"/>
        <v>5030.79</v>
      </c>
      <c r="H80" s="2">
        <f t="shared" si="25"/>
        <v>30184.739999999998</v>
      </c>
      <c r="I80" s="2">
        <f t="shared" si="32"/>
        <v>10.58</v>
      </c>
      <c r="J80" s="2">
        <f t="shared" si="33"/>
        <v>5030.79</v>
      </c>
      <c r="K80" s="2">
        <f t="shared" si="26"/>
        <v>30184.739999999998</v>
      </c>
      <c r="L80" s="97">
        <f t="shared" si="27"/>
        <v>60369.479999999996</v>
      </c>
      <c r="M80" s="109">
        <v>3.92</v>
      </c>
      <c r="N80" s="89">
        <f t="shared" si="34"/>
        <v>22367.52</v>
      </c>
      <c r="O80" s="64">
        <v>1.46</v>
      </c>
      <c r="P80" s="90">
        <f t="shared" si="35"/>
        <v>8330.76</v>
      </c>
      <c r="Q80" s="64">
        <v>0.52</v>
      </c>
      <c r="R80" s="90">
        <f t="shared" si="36"/>
        <v>2967.1200000000003</v>
      </c>
      <c r="S80" s="64">
        <v>0.89</v>
      </c>
      <c r="T80" s="91">
        <f t="shared" si="37"/>
        <v>5078.34</v>
      </c>
      <c r="U80" s="64">
        <v>0</v>
      </c>
      <c r="V80" s="90">
        <f t="shared" si="38"/>
        <v>0</v>
      </c>
      <c r="W80" s="96"/>
      <c r="X80" s="91">
        <f t="shared" si="39"/>
        <v>0</v>
      </c>
      <c r="Y80" s="110">
        <f t="shared" si="43"/>
        <v>38743.740000000005</v>
      </c>
      <c r="Z80" s="32"/>
      <c r="AA80" s="12">
        <f t="shared" si="40"/>
        <v>0</v>
      </c>
      <c r="AB80" s="25">
        <f t="shared" si="41"/>
        <v>60369.479999999996</v>
      </c>
      <c r="AC80" s="44"/>
      <c r="AD80" s="8">
        <f t="shared" si="28"/>
        <v>60369.479999999996</v>
      </c>
      <c r="AE80" s="167">
        <v>18280.32</v>
      </c>
      <c r="AF80" s="168">
        <v>0</v>
      </c>
      <c r="AG80" s="168">
        <v>5030.79</v>
      </c>
      <c r="AH80" s="168">
        <v>0</v>
      </c>
      <c r="AI80" s="168">
        <v>60369.479999999996</v>
      </c>
      <c r="AJ80" s="59" t="s">
        <v>299</v>
      </c>
      <c r="AK80" s="59"/>
      <c r="AL80" s="45">
        <v>0</v>
      </c>
      <c r="AM80" s="45">
        <v>1528.12</v>
      </c>
      <c r="AN80" s="2">
        <v>0</v>
      </c>
      <c r="AO80" s="2">
        <v>1528.12</v>
      </c>
      <c r="AP80" s="1">
        <v>0</v>
      </c>
      <c r="AQ80" s="1">
        <v>8421.62</v>
      </c>
      <c r="AR80" s="24">
        <v>0</v>
      </c>
      <c r="AS80" s="24">
        <v>2226.62</v>
      </c>
      <c r="AT80" s="1">
        <v>0</v>
      </c>
      <c r="AU80" s="1">
        <v>5563.01</v>
      </c>
      <c r="AV80" s="24">
        <v>0</v>
      </c>
      <c r="AW80" s="24">
        <v>7056.78</v>
      </c>
      <c r="AX80" s="45">
        <v>0</v>
      </c>
      <c r="AY80" s="45">
        <v>1528.12</v>
      </c>
      <c r="AZ80" s="24">
        <v>0</v>
      </c>
      <c r="BA80" s="24">
        <v>1528.12</v>
      </c>
      <c r="BB80" s="24">
        <v>0</v>
      </c>
      <c r="BC80" s="24">
        <v>1528.12</v>
      </c>
      <c r="BD80" s="24">
        <v>0</v>
      </c>
      <c r="BE80" s="24">
        <v>2935.73</v>
      </c>
      <c r="BF80" s="24">
        <v>0</v>
      </c>
      <c r="BG80" s="24">
        <v>3900.12</v>
      </c>
      <c r="BH80" s="24">
        <v>0</v>
      </c>
      <c r="BI80" s="24">
        <v>1528.12</v>
      </c>
      <c r="BJ80" s="9">
        <f t="shared" si="29"/>
        <v>0</v>
      </c>
      <c r="BK80" s="9">
        <f t="shared" si="30"/>
        <v>39272.6</v>
      </c>
      <c r="BL80" s="153">
        <f t="shared" si="31"/>
        <v>39272.6</v>
      </c>
      <c r="BM80" s="154"/>
      <c r="BN80" s="154">
        <f>12882.65-1014.91</f>
        <v>11867.74</v>
      </c>
      <c r="BO80" s="154">
        <v>369.93</v>
      </c>
      <c r="BP80" s="154"/>
      <c r="BQ80" s="154"/>
      <c r="BR80" s="155">
        <f t="shared" si="44"/>
        <v>51510.27</v>
      </c>
      <c r="BS80" s="154">
        <f>1369.44+1388.46</f>
        <v>2757.9</v>
      </c>
      <c r="BT80" s="199"/>
      <c r="BU80" s="20">
        <f t="shared" si="42"/>
        <v>11617.109999999999</v>
      </c>
      <c r="BV80" s="231">
        <v>108637.75</v>
      </c>
      <c r="BW80" s="229"/>
      <c r="BX80" s="230"/>
    </row>
    <row r="81" spans="1:76" ht="15.75">
      <c r="A81" s="1">
        <v>74</v>
      </c>
      <c r="B81" s="1" t="s">
        <v>70</v>
      </c>
      <c r="C81" s="1">
        <v>7840</v>
      </c>
      <c r="D81" s="1">
        <v>0</v>
      </c>
      <c r="E81" s="1">
        <f aca="true" t="shared" si="45" ref="E81:E111">C81+D81</f>
        <v>7840</v>
      </c>
      <c r="F81" s="2">
        <v>15.87</v>
      </c>
      <c r="G81" s="2">
        <f t="shared" si="24"/>
        <v>124420.79999999999</v>
      </c>
      <c r="H81" s="2">
        <f t="shared" si="25"/>
        <v>746524.7999999999</v>
      </c>
      <c r="I81" s="2">
        <f t="shared" si="32"/>
        <v>15.87</v>
      </c>
      <c r="J81" s="2">
        <f t="shared" si="33"/>
        <v>124420.79999999999</v>
      </c>
      <c r="K81" s="2">
        <f t="shared" si="26"/>
        <v>746524.7999999999</v>
      </c>
      <c r="L81" s="97">
        <f t="shared" si="27"/>
        <v>1493049.5999999999</v>
      </c>
      <c r="M81" s="109">
        <v>3.92</v>
      </c>
      <c r="N81" s="89">
        <f t="shared" si="34"/>
        <v>368793.6</v>
      </c>
      <c r="O81" s="64">
        <v>1.46</v>
      </c>
      <c r="P81" s="90">
        <f t="shared" si="35"/>
        <v>137356.8</v>
      </c>
      <c r="Q81" s="64"/>
      <c r="R81" s="90">
        <f t="shared" si="36"/>
        <v>0</v>
      </c>
      <c r="S81" s="64"/>
      <c r="T81" s="91">
        <f t="shared" si="37"/>
        <v>0</v>
      </c>
      <c r="U81" s="64">
        <v>0.24</v>
      </c>
      <c r="V81" s="90">
        <f t="shared" si="38"/>
        <v>22579.199999999997</v>
      </c>
      <c r="W81" s="96"/>
      <c r="X81" s="91">
        <f t="shared" si="39"/>
        <v>0</v>
      </c>
      <c r="Y81" s="110">
        <f t="shared" si="43"/>
        <v>528729.6</v>
      </c>
      <c r="Z81" s="32"/>
      <c r="AA81" s="12">
        <f t="shared" si="40"/>
        <v>0</v>
      </c>
      <c r="AB81" s="25">
        <f t="shared" si="41"/>
        <v>1493049.5999999999</v>
      </c>
      <c r="AC81" s="166"/>
      <c r="AD81" s="8">
        <f t="shared" si="28"/>
        <v>1493049.5999999999</v>
      </c>
      <c r="AE81" s="167">
        <v>514430.4</v>
      </c>
      <c r="AF81" s="168">
        <v>0</v>
      </c>
      <c r="AG81" s="168">
        <v>124420.79999999999</v>
      </c>
      <c r="AH81" s="168">
        <v>0</v>
      </c>
      <c r="AI81" s="168">
        <v>1493049.5999999999</v>
      </c>
      <c r="AJ81" s="59"/>
      <c r="AK81" s="59"/>
      <c r="AL81" s="45">
        <v>0</v>
      </c>
      <c r="AM81" s="45">
        <v>114212.32</v>
      </c>
      <c r="AN81" s="2">
        <v>0</v>
      </c>
      <c r="AO81" s="2">
        <v>83304.72</v>
      </c>
      <c r="AP81" s="1">
        <v>0</v>
      </c>
      <c r="AQ81" s="1">
        <v>134917.51</v>
      </c>
      <c r="AR81" s="24">
        <v>0</v>
      </c>
      <c r="AS81" s="24">
        <v>106099.85</v>
      </c>
      <c r="AT81" s="1">
        <v>0</v>
      </c>
      <c r="AU81" s="1">
        <v>65686.36</v>
      </c>
      <c r="AV81" s="24">
        <v>0</v>
      </c>
      <c r="AW81" s="197">
        <v>104838.85</v>
      </c>
      <c r="AX81" s="45">
        <v>0</v>
      </c>
      <c r="AY81" s="45">
        <v>365315.25</v>
      </c>
      <c r="AZ81" s="24">
        <v>0</v>
      </c>
      <c r="BA81" s="24">
        <v>80534.61</v>
      </c>
      <c r="BB81" s="24">
        <v>0</v>
      </c>
      <c r="BC81" s="24">
        <v>333171.24</v>
      </c>
      <c r="BD81" s="24">
        <v>0</v>
      </c>
      <c r="BE81" s="24">
        <v>71371.13</v>
      </c>
      <c r="BF81" s="24">
        <v>0</v>
      </c>
      <c r="BG81" s="24">
        <v>72740.85</v>
      </c>
      <c r="BH81" s="24">
        <v>0</v>
      </c>
      <c r="BI81" s="24">
        <v>59259.1</v>
      </c>
      <c r="BJ81" s="9">
        <f t="shared" si="29"/>
        <v>0</v>
      </c>
      <c r="BK81" s="9">
        <f t="shared" si="30"/>
        <v>1591451.79</v>
      </c>
      <c r="BL81" s="153">
        <f t="shared" si="31"/>
        <v>1591451.79</v>
      </c>
      <c r="BM81" s="154"/>
      <c r="BN81" s="154"/>
      <c r="BO81" s="154"/>
      <c r="BP81" s="154"/>
      <c r="BQ81" s="154"/>
      <c r="BR81" s="155">
        <f t="shared" si="44"/>
        <v>1591451.79</v>
      </c>
      <c r="BS81" s="198">
        <v>11445.82</v>
      </c>
      <c r="BT81" s="199">
        <v>17964</v>
      </c>
      <c r="BU81" s="20">
        <f t="shared" si="42"/>
        <v>-86956.37000000017</v>
      </c>
      <c r="BV81" s="231">
        <v>761781</v>
      </c>
      <c r="BW81" s="229"/>
      <c r="BX81" s="230"/>
    </row>
    <row r="82" spans="1:111" s="17" customFormat="1" ht="15.75">
      <c r="A82" s="1">
        <v>75</v>
      </c>
      <c r="B82" s="1" t="s">
        <v>71</v>
      </c>
      <c r="C82" s="1">
        <v>471.4</v>
      </c>
      <c r="D82" s="1">
        <v>0</v>
      </c>
      <c r="E82" s="1">
        <f t="shared" si="45"/>
        <v>471.4</v>
      </c>
      <c r="F82" s="2">
        <v>13.01</v>
      </c>
      <c r="G82" s="2">
        <f t="shared" si="24"/>
        <v>6132.914</v>
      </c>
      <c r="H82" s="2">
        <f t="shared" si="25"/>
        <v>36797.484</v>
      </c>
      <c r="I82" s="2">
        <f t="shared" si="32"/>
        <v>13.01</v>
      </c>
      <c r="J82" s="2">
        <f t="shared" si="33"/>
        <v>6132.914</v>
      </c>
      <c r="K82" s="2">
        <f t="shared" si="26"/>
        <v>36797.484</v>
      </c>
      <c r="L82" s="97">
        <f t="shared" si="27"/>
        <v>73594.968</v>
      </c>
      <c r="M82" s="109">
        <v>3.92</v>
      </c>
      <c r="N82" s="89">
        <f t="shared" si="34"/>
        <v>22174.656</v>
      </c>
      <c r="O82" s="64">
        <v>1.46</v>
      </c>
      <c r="P82" s="90">
        <f t="shared" si="35"/>
        <v>8258.928</v>
      </c>
      <c r="Q82" s="64"/>
      <c r="R82" s="90">
        <f t="shared" si="36"/>
        <v>0</v>
      </c>
      <c r="S82" s="64"/>
      <c r="T82" s="91">
        <f t="shared" si="37"/>
        <v>0</v>
      </c>
      <c r="U82" s="64">
        <v>0</v>
      </c>
      <c r="V82" s="90">
        <f t="shared" si="38"/>
        <v>0</v>
      </c>
      <c r="W82" s="96"/>
      <c r="X82" s="91">
        <f t="shared" si="39"/>
        <v>0</v>
      </c>
      <c r="Y82" s="110">
        <f t="shared" si="43"/>
        <v>30433.584</v>
      </c>
      <c r="Z82" s="32"/>
      <c r="AA82" s="12">
        <f t="shared" si="40"/>
        <v>0</v>
      </c>
      <c r="AB82" s="25">
        <f t="shared" si="41"/>
        <v>73594.968</v>
      </c>
      <c r="AC82" s="44"/>
      <c r="AD82" s="8">
        <f t="shared" si="28"/>
        <v>73594.968</v>
      </c>
      <c r="AE82" s="167">
        <v>18146.496</v>
      </c>
      <c r="AF82" s="168">
        <v>0</v>
      </c>
      <c r="AG82" s="168">
        <v>6132.914</v>
      </c>
      <c r="AH82" s="168">
        <v>0</v>
      </c>
      <c r="AI82" s="168">
        <v>73594.968</v>
      </c>
      <c r="AJ82" s="59" t="s">
        <v>296</v>
      </c>
      <c r="AK82" s="59"/>
      <c r="AL82" s="45">
        <v>0</v>
      </c>
      <c r="AM82" s="45">
        <v>1516.92</v>
      </c>
      <c r="AN82" s="2">
        <v>0</v>
      </c>
      <c r="AO82" s="2">
        <v>92493.02</v>
      </c>
      <c r="AP82" s="1">
        <v>0</v>
      </c>
      <c r="AQ82" s="1">
        <v>22253.97</v>
      </c>
      <c r="AR82" s="24">
        <v>0</v>
      </c>
      <c r="AS82" s="24">
        <v>2215.42</v>
      </c>
      <c r="AT82" s="1">
        <v>0</v>
      </c>
      <c r="AU82" s="1">
        <v>1516.92</v>
      </c>
      <c r="AV82" s="24">
        <v>0</v>
      </c>
      <c r="AW82" s="24">
        <v>4515.41</v>
      </c>
      <c r="AX82" s="45">
        <v>0</v>
      </c>
      <c r="AY82" s="45">
        <v>1516.92</v>
      </c>
      <c r="AZ82" s="24">
        <v>0</v>
      </c>
      <c r="BA82" s="24">
        <v>26946.76</v>
      </c>
      <c r="BB82" s="24">
        <v>0</v>
      </c>
      <c r="BC82" s="24">
        <v>27385.63</v>
      </c>
      <c r="BD82" s="24">
        <v>0</v>
      </c>
      <c r="BE82" s="24">
        <v>1516.92</v>
      </c>
      <c r="BF82" s="24">
        <v>0</v>
      </c>
      <c r="BG82" s="24">
        <v>3024.92</v>
      </c>
      <c r="BH82" s="24">
        <v>0</v>
      </c>
      <c r="BI82" s="24">
        <v>1516.92</v>
      </c>
      <c r="BJ82" s="9">
        <f t="shared" si="29"/>
        <v>0</v>
      </c>
      <c r="BK82" s="9">
        <f t="shared" si="30"/>
        <v>186419.73000000004</v>
      </c>
      <c r="BL82" s="153">
        <f t="shared" si="31"/>
        <v>186419.73000000004</v>
      </c>
      <c r="BM82" s="154"/>
      <c r="BN82" s="154"/>
      <c r="BO82" s="154"/>
      <c r="BP82" s="154"/>
      <c r="BQ82" s="154"/>
      <c r="BR82" s="155">
        <f t="shared" si="44"/>
        <v>186419.73000000004</v>
      </c>
      <c r="BS82" s="154">
        <f>1357.63+1376.49</f>
        <v>2734.12</v>
      </c>
      <c r="BT82" s="199"/>
      <c r="BU82" s="20">
        <f t="shared" si="42"/>
        <v>-110090.64200000005</v>
      </c>
      <c r="BV82" s="231">
        <v>121523.48</v>
      </c>
      <c r="BW82" s="229"/>
      <c r="BX82" s="230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</row>
    <row r="83" spans="1:76" ht="15.75" customHeight="1">
      <c r="A83" s="1">
        <v>76</v>
      </c>
      <c r="B83" s="1" t="s">
        <v>72</v>
      </c>
      <c r="C83" s="1">
        <v>361.2</v>
      </c>
      <c r="D83" s="1">
        <v>0</v>
      </c>
      <c r="E83" s="1">
        <f t="shared" si="45"/>
        <v>361.2</v>
      </c>
      <c r="F83" s="2">
        <v>13.01</v>
      </c>
      <c r="G83" s="2">
        <f t="shared" si="24"/>
        <v>4699.2119999999995</v>
      </c>
      <c r="H83" s="2">
        <f t="shared" si="25"/>
        <v>28195.271999999997</v>
      </c>
      <c r="I83" s="2">
        <f t="shared" si="32"/>
        <v>13.01</v>
      </c>
      <c r="J83" s="2">
        <f t="shared" si="33"/>
        <v>4699.2119999999995</v>
      </c>
      <c r="K83" s="2">
        <f t="shared" si="26"/>
        <v>28195.271999999997</v>
      </c>
      <c r="L83" s="97">
        <f t="shared" si="27"/>
        <v>56390.543999999994</v>
      </c>
      <c r="M83" s="109">
        <v>3.92</v>
      </c>
      <c r="N83" s="89">
        <f t="shared" si="34"/>
        <v>16990.847999999998</v>
      </c>
      <c r="O83" s="64">
        <v>1.46</v>
      </c>
      <c r="P83" s="90">
        <f t="shared" si="35"/>
        <v>6328.224</v>
      </c>
      <c r="Q83" s="64"/>
      <c r="R83" s="90">
        <f t="shared" si="36"/>
        <v>0</v>
      </c>
      <c r="S83" s="64"/>
      <c r="T83" s="91">
        <f t="shared" si="37"/>
        <v>0</v>
      </c>
      <c r="U83" s="64">
        <v>0</v>
      </c>
      <c r="V83" s="90">
        <f t="shared" si="38"/>
        <v>0</v>
      </c>
      <c r="W83" s="96"/>
      <c r="X83" s="91">
        <f t="shared" si="39"/>
        <v>0</v>
      </c>
      <c r="Y83" s="110">
        <f t="shared" si="43"/>
        <v>23319.072</v>
      </c>
      <c r="Z83" s="32"/>
      <c r="AA83" s="12">
        <f t="shared" si="40"/>
        <v>0</v>
      </c>
      <c r="AB83" s="25">
        <f t="shared" si="41"/>
        <v>56390.543999999994</v>
      </c>
      <c r="AC83" s="44"/>
      <c r="AD83" s="8">
        <f t="shared" si="28"/>
        <v>56390.543999999994</v>
      </c>
      <c r="AE83" s="167">
        <v>26079.072000000004</v>
      </c>
      <c r="AF83" s="168">
        <v>0</v>
      </c>
      <c r="AG83" s="168">
        <v>4699.2119999999995</v>
      </c>
      <c r="AH83" s="168">
        <v>0</v>
      </c>
      <c r="AI83" s="168">
        <v>56390.543999999994</v>
      </c>
      <c r="AJ83" s="26"/>
      <c r="AK83" s="26"/>
      <c r="AL83" s="45">
        <v>0</v>
      </c>
      <c r="AM83" s="45">
        <v>1866.24</v>
      </c>
      <c r="AN83" s="2">
        <v>0</v>
      </c>
      <c r="AO83" s="2">
        <v>1866.24</v>
      </c>
      <c r="AP83" s="1">
        <v>0</v>
      </c>
      <c r="AQ83" s="1">
        <v>8759.74</v>
      </c>
      <c r="AR83" s="24">
        <v>0</v>
      </c>
      <c r="AS83" s="24">
        <v>2564.74</v>
      </c>
      <c r="AT83" s="1">
        <v>0</v>
      </c>
      <c r="AU83" s="1">
        <v>2426.1</v>
      </c>
      <c r="AV83" s="24">
        <v>0</v>
      </c>
      <c r="AW83" s="24">
        <v>2426.1</v>
      </c>
      <c r="AX83" s="45">
        <v>0</v>
      </c>
      <c r="AY83" s="45">
        <v>2426.1</v>
      </c>
      <c r="AZ83" s="24">
        <v>0</v>
      </c>
      <c r="BA83" s="24">
        <v>2426.1</v>
      </c>
      <c r="BB83" s="24">
        <v>0</v>
      </c>
      <c r="BC83" s="24">
        <v>13132.67</v>
      </c>
      <c r="BD83" s="24">
        <v>0</v>
      </c>
      <c r="BE83" s="24">
        <v>2876.29</v>
      </c>
      <c r="BF83" s="24">
        <v>0</v>
      </c>
      <c r="BG83" s="24">
        <v>8605.66</v>
      </c>
      <c r="BH83" s="24">
        <v>0</v>
      </c>
      <c r="BI83" s="24">
        <v>1866.24</v>
      </c>
      <c r="BJ83" s="9">
        <f t="shared" si="29"/>
        <v>0</v>
      </c>
      <c r="BK83" s="9">
        <f t="shared" si="30"/>
        <v>51242.219999999994</v>
      </c>
      <c r="BL83" s="153">
        <f t="shared" si="31"/>
        <v>51242.219999999994</v>
      </c>
      <c r="BM83" s="154"/>
      <c r="BN83" s="154"/>
      <c r="BO83" s="154"/>
      <c r="BP83" s="154"/>
      <c r="BQ83" s="154"/>
      <c r="BR83" s="155">
        <f t="shared" si="44"/>
        <v>51242.219999999994</v>
      </c>
      <c r="BS83" s="154">
        <f>1040.26+1054.7</f>
        <v>2094.96</v>
      </c>
      <c r="BT83" s="199"/>
      <c r="BU83" s="20">
        <f t="shared" si="42"/>
        <v>7243.284000000001</v>
      </c>
      <c r="BV83" s="231">
        <v>47407.53</v>
      </c>
      <c r="BW83" s="229"/>
      <c r="BX83" s="230"/>
    </row>
    <row r="84" spans="1:76" ht="15.75" customHeight="1">
      <c r="A84" s="1">
        <v>77</v>
      </c>
      <c r="B84" s="1" t="s">
        <v>73</v>
      </c>
      <c r="C84" s="1">
        <v>692.1</v>
      </c>
      <c r="D84" s="1">
        <v>0</v>
      </c>
      <c r="E84" s="1">
        <f t="shared" si="45"/>
        <v>692.1</v>
      </c>
      <c r="F84" s="2">
        <v>15.77</v>
      </c>
      <c r="G84" s="2">
        <f t="shared" si="24"/>
        <v>10914.417</v>
      </c>
      <c r="H84" s="2">
        <f t="shared" si="25"/>
        <v>65486.50199999999</v>
      </c>
      <c r="I84" s="2">
        <f t="shared" si="32"/>
        <v>15.77</v>
      </c>
      <c r="J84" s="2">
        <f t="shared" si="33"/>
        <v>10914.417</v>
      </c>
      <c r="K84" s="2">
        <f t="shared" si="26"/>
        <v>65486.50199999999</v>
      </c>
      <c r="L84" s="97">
        <f t="shared" si="27"/>
        <v>130973.00399999999</v>
      </c>
      <c r="M84" s="109">
        <v>3.92</v>
      </c>
      <c r="N84" s="89">
        <f t="shared" si="34"/>
        <v>32556.384000000002</v>
      </c>
      <c r="O84" s="64">
        <v>1.46</v>
      </c>
      <c r="P84" s="90">
        <f t="shared" si="35"/>
        <v>12125.592</v>
      </c>
      <c r="Q84" s="64"/>
      <c r="R84" s="90">
        <f t="shared" si="36"/>
        <v>0</v>
      </c>
      <c r="S84" s="64"/>
      <c r="T84" s="91">
        <f t="shared" si="37"/>
        <v>0</v>
      </c>
      <c r="U84" s="64">
        <v>0</v>
      </c>
      <c r="V84" s="90">
        <f t="shared" si="38"/>
        <v>0</v>
      </c>
      <c r="W84" s="96"/>
      <c r="X84" s="91">
        <f t="shared" si="39"/>
        <v>0</v>
      </c>
      <c r="Y84" s="110">
        <f t="shared" si="43"/>
        <v>44681.976</v>
      </c>
      <c r="Z84" s="32">
        <v>-15462.91</v>
      </c>
      <c r="AA84" s="12">
        <f t="shared" si="40"/>
        <v>-0.11806181066137875</v>
      </c>
      <c r="AB84" s="25">
        <f t="shared" si="41"/>
        <v>115510.09399999998</v>
      </c>
      <c r="AC84" s="44"/>
      <c r="AD84" s="8">
        <f t="shared" si="28"/>
        <v>115510.09399999998</v>
      </c>
      <c r="AE84" s="167">
        <v>25350.144</v>
      </c>
      <c r="AF84" s="168">
        <v>0</v>
      </c>
      <c r="AG84" s="168">
        <v>9625.841166666665</v>
      </c>
      <c r="AH84" s="168">
        <v>0</v>
      </c>
      <c r="AI84" s="168">
        <v>115510.09399999998</v>
      </c>
      <c r="AJ84" s="59" t="s">
        <v>296</v>
      </c>
      <c r="AK84" s="58"/>
      <c r="AL84" s="45">
        <v>0</v>
      </c>
      <c r="AM84" s="45">
        <v>2119.43</v>
      </c>
      <c r="AN84" s="2">
        <v>0</v>
      </c>
      <c r="AO84" s="2">
        <v>2382.53</v>
      </c>
      <c r="AP84" s="1">
        <v>0</v>
      </c>
      <c r="AQ84" s="1">
        <v>6478.05</v>
      </c>
      <c r="AR84" s="24">
        <v>0</v>
      </c>
      <c r="AS84" s="24">
        <v>37924.98</v>
      </c>
      <c r="AT84" s="1">
        <v>0</v>
      </c>
      <c r="AU84" s="1">
        <v>9454.55</v>
      </c>
      <c r="AV84" s="24">
        <v>0</v>
      </c>
      <c r="AW84" s="24">
        <v>6705.45</v>
      </c>
      <c r="AX84" s="45">
        <v>0</v>
      </c>
      <c r="AY84" s="45">
        <v>2119.43</v>
      </c>
      <c r="AZ84" s="24">
        <v>0</v>
      </c>
      <c r="BA84" s="24">
        <v>2119.43</v>
      </c>
      <c r="BB84" s="24">
        <v>0</v>
      </c>
      <c r="BC84" s="24">
        <v>3734.16</v>
      </c>
      <c r="BD84" s="24">
        <v>0</v>
      </c>
      <c r="BE84" s="24">
        <v>2294.93</v>
      </c>
      <c r="BF84" s="24">
        <v>0</v>
      </c>
      <c r="BG84" s="24">
        <v>4427.55</v>
      </c>
      <c r="BH84" s="24">
        <v>0</v>
      </c>
      <c r="BI84" s="24">
        <v>3098.23</v>
      </c>
      <c r="BJ84" s="9">
        <f t="shared" si="29"/>
        <v>0</v>
      </c>
      <c r="BK84" s="9">
        <f t="shared" si="30"/>
        <v>82858.71999999999</v>
      </c>
      <c r="BL84" s="153">
        <f t="shared" si="31"/>
        <v>82858.71999999999</v>
      </c>
      <c r="BM84" s="154"/>
      <c r="BN84" s="154"/>
      <c r="BO84" s="154"/>
      <c r="BP84" s="154"/>
      <c r="BQ84" s="154"/>
      <c r="BR84" s="155">
        <f t="shared" si="44"/>
        <v>82858.71999999999</v>
      </c>
      <c r="BS84" s="198">
        <v>1010.17</v>
      </c>
      <c r="BT84" s="199"/>
      <c r="BU84" s="20">
        <f t="shared" si="42"/>
        <v>33661.543999999994</v>
      </c>
      <c r="BV84" s="231">
        <v>226913.45</v>
      </c>
      <c r="BW84" s="229"/>
      <c r="BX84" s="230"/>
    </row>
    <row r="85" spans="1:76" ht="15.75">
      <c r="A85" s="1">
        <v>78</v>
      </c>
      <c r="B85" s="1" t="s">
        <v>74</v>
      </c>
      <c r="C85" s="1">
        <v>613.3</v>
      </c>
      <c r="D85" s="1">
        <v>0</v>
      </c>
      <c r="E85" s="1">
        <f t="shared" si="45"/>
        <v>613.3</v>
      </c>
      <c r="F85" s="2">
        <v>13.23</v>
      </c>
      <c r="G85" s="2">
        <f t="shared" si="24"/>
        <v>8113.959</v>
      </c>
      <c r="H85" s="2">
        <f t="shared" si="25"/>
        <v>48683.754</v>
      </c>
      <c r="I85" s="2">
        <f t="shared" si="32"/>
        <v>13.23</v>
      </c>
      <c r="J85" s="2">
        <f t="shared" si="33"/>
        <v>8113.959</v>
      </c>
      <c r="K85" s="2">
        <f t="shared" si="26"/>
        <v>48683.754</v>
      </c>
      <c r="L85" s="97">
        <f t="shared" si="27"/>
        <v>97367.508</v>
      </c>
      <c r="M85" s="109">
        <v>3.92</v>
      </c>
      <c r="N85" s="89">
        <f t="shared" si="34"/>
        <v>28849.631999999998</v>
      </c>
      <c r="O85" s="64">
        <v>1.46</v>
      </c>
      <c r="P85" s="90">
        <f t="shared" si="35"/>
        <v>10745.016</v>
      </c>
      <c r="Q85" s="64">
        <v>0.52</v>
      </c>
      <c r="R85" s="90">
        <f t="shared" si="36"/>
        <v>3826.992</v>
      </c>
      <c r="S85" s="64">
        <v>0.89</v>
      </c>
      <c r="T85" s="91">
        <f t="shared" si="37"/>
        <v>6550.044</v>
      </c>
      <c r="U85" s="64">
        <v>0</v>
      </c>
      <c r="V85" s="90">
        <f t="shared" si="38"/>
        <v>0</v>
      </c>
      <c r="W85" s="96"/>
      <c r="X85" s="91">
        <f t="shared" si="39"/>
        <v>0</v>
      </c>
      <c r="Y85" s="110">
        <f t="shared" si="43"/>
        <v>49971.684</v>
      </c>
      <c r="Z85" s="32">
        <v>-91943.5</v>
      </c>
      <c r="AA85" s="12">
        <f t="shared" si="40"/>
        <v>-0.9442934495150066</v>
      </c>
      <c r="AB85" s="25">
        <f t="shared" si="41"/>
        <v>5424.008000000002</v>
      </c>
      <c r="AC85" s="44"/>
      <c r="AD85" s="8">
        <f t="shared" si="28"/>
        <v>5424.008000000002</v>
      </c>
      <c r="AE85" s="167">
        <v>22778.112</v>
      </c>
      <c r="AF85" s="168">
        <v>0</v>
      </c>
      <c r="AG85" s="168">
        <v>452.0006666666668</v>
      </c>
      <c r="AH85" s="168">
        <v>0</v>
      </c>
      <c r="AI85" s="168">
        <v>5424.008000000002</v>
      </c>
      <c r="AJ85" s="59" t="s">
        <v>296</v>
      </c>
      <c r="AK85" s="58"/>
      <c r="AL85" s="45">
        <v>0</v>
      </c>
      <c r="AM85" s="45">
        <v>1904.31</v>
      </c>
      <c r="AN85" s="2">
        <v>0</v>
      </c>
      <c r="AO85" s="2">
        <v>1904.31</v>
      </c>
      <c r="AP85" s="1">
        <v>0</v>
      </c>
      <c r="AQ85" s="1">
        <v>8797.81</v>
      </c>
      <c r="AR85" s="24">
        <v>0</v>
      </c>
      <c r="AS85" s="24">
        <v>2602.81</v>
      </c>
      <c r="AT85" s="1">
        <v>0</v>
      </c>
      <c r="AU85" s="1">
        <v>2336.31</v>
      </c>
      <c r="AV85" s="24">
        <v>0</v>
      </c>
      <c r="AW85" s="24">
        <v>1904.31</v>
      </c>
      <c r="AX85" s="45">
        <v>0</v>
      </c>
      <c r="AY85" s="45">
        <v>3416.31</v>
      </c>
      <c r="AZ85" s="24">
        <v>0</v>
      </c>
      <c r="BA85" s="24">
        <v>1904.31</v>
      </c>
      <c r="BB85" s="24">
        <v>0</v>
      </c>
      <c r="BC85" s="24">
        <v>6305.94</v>
      </c>
      <c r="BD85" s="24">
        <v>0</v>
      </c>
      <c r="BE85" s="24">
        <v>3959.92</v>
      </c>
      <c r="BF85" s="24">
        <v>0</v>
      </c>
      <c r="BG85" s="24">
        <v>6004.31</v>
      </c>
      <c r="BH85" s="24">
        <v>0</v>
      </c>
      <c r="BI85" s="24">
        <v>7572.95</v>
      </c>
      <c r="BJ85" s="9">
        <f t="shared" si="29"/>
        <v>0</v>
      </c>
      <c r="BK85" s="9">
        <f t="shared" si="30"/>
        <v>48613.6</v>
      </c>
      <c r="BL85" s="153">
        <f t="shared" si="31"/>
        <v>48613.6</v>
      </c>
      <c r="BM85" s="154"/>
      <c r="BN85" s="154"/>
      <c r="BO85" s="154">
        <v>477.14</v>
      </c>
      <c r="BP85" s="154"/>
      <c r="BQ85" s="154"/>
      <c r="BR85" s="155">
        <f t="shared" si="44"/>
        <v>49090.74</v>
      </c>
      <c r="BS85" s="154">
        <f>1766.3+1790.84</f>
        <v>3557.14</v>
      </c>
      <c r="BT85" s="199"/>
      <c r="BU85" s="20">
        <f t="shared" si="42"/>
        <v>-40109.592</v>
      </c>
      <c r="BV85" s="231">
        <v>282634.99</v>
      </c>
      <c r="BW85" s="229"/>
      <c r="BX85" s="230"/>
    </row>
    <row r="86" spans="1:76" ht="15.75" customHeight="1">
      <c r="A86" s="1">
        <v>79</v>
      </c>
      <c r="B86" s="1" t="s">
        <v>75</v>
      </c>
      <c r="C86" s="1">
        <v>533.6</v>
      </c>
      <c r="D86" s="1">
        <v>0</v>
      </c>
      <c r="E86" s="1">
        <f t="shared" si="45"/>
        <v>533.6</v>
      </c>
      <c r="F86" s="2">
        <v>10.47</v>
      </c>
      <c r="G86" s="2">
        <f t="shared" si="24"/>
        <v>5586.792</v>
      </c>
      <c r="H86" s="2">
        <f t="shared" si="25"/>
        <v>33520.752</v>
      </c>
      <c r="I86" s="2">
        <f t="shared" si="32"/>
        <v>10.47</v>
      </c>
      <c r="J86" s="2">
        <f t="shared" si="33"/>
        <v>5586.792</v>
      </c>
      <c r="K86" s="2">
        <f t="shared" si="26"/>
        <v>33520.752</v>
      </c>
      <c r="L86" s="97">
        <f t="shared" si="27"/>
        <v>67041.504</v>
      </c>
      <c r="M86" s="109">
        <v>3.92</v>
      </c>
      <c r="N86" s="89">
        <f t="shared" si="34"/>
        <v>25100.544</v>
      </c>
      <c r="O86" s="64">
        <v>1.46</v>
      </c>
      <c r="P86" s="90">
        <f t="shared" si="35"/>
        <v>9348.672</v>
      </c>
      <c r="Q86" s="64"/>
      <c r="R86" s="90">
        <f t="shared" si="36"/>
        <v>0</v>
      </c>
      <c r="S86" s="64"/>
      <c r="T86" s="91">
        <f t="shared" si="37"/>
        <v>0</v>
      </c>
      <c r="U86" s="64">
        <v>2.16</v>
      </c>
      <c r="V86" s="90">
        <f t="shared" si="38"/>
        <v>13830.912</v>
      </c>
      <c r="W86" s="96"/>
      <c r="X86" s="91">
        <f t="shared" si="39"/>
        <v>0</v>
      </c>
      <c r="Y86" s="110">
        <f t="shared" si="43"/>
        <v>48280.128</v>
      </c>
      <c r="Z86" s="32"/>
      <c r="AA86" s="12">
        <f t="shared" si="40"/>
        <v>0</v>
      </c>
      <c r="AB86" s="25">
        <f t="shared" si="41"/>
        <v>67041.504</v>
      </c>
      <c r="AC86" s="44"/>
      <c r="AD86" s="8">
        <f t="shared" si="28"/>
        <v>67041.504</v>
      </c>
      <c r="AE86" s="167">
        <v>20176.704</v>
      </c>
      <c r="AF86" s="168">
        <v>0</v>
      </c>
      <c r="AG86" s="168">
        <v>5586.792</v>
      </c>
      <c r="AH86" s="168">
        <v>0</v>
      </c>
      <c r="AI86" s="168">
        <v>67041.504</v>
      </c>
      <c r="AJ86" s="59" t="s">
        <v>299</v>
      </c>
      <c r="AK86" s="59"/>
      <c r="AL86" s="45">
        <v>0</v>
      </c>
      <c r="AM86" s="45">
        <v>1686.73</v>
      </c>
      <c r="AN86" s="2">
        <v>0</v>
      </c>
      <c r="AO86" s="2">
        <v>1686.73</v>
      </c>
      <c r="AP86" s="1">
        <v>0</v>
      </c>
      <c r="AQ86" s="1">
        <v>1686.73</v>
      </c>
      <c r="AR86" s="24">
        <v>0</v>
      </c>
      <c r="AS86" s="24">
        <v>4655.6</v>
      </c>
      <c r="AT86" s="1">
        <v>0</v>
      </c>
      <c r="AU86" s="1">
        <v>1686.73</v>
      </c>
      <c r="AV86" s="24">
        <v>0</v>
      </c>
      <c r="AW86" s="24">
        <v>1686.73</v>
      </c>
      <c r="AX86" s="45">
        <v>0</v>
      </c>
      <c r="AY86" s="45">
        <v>1686.73</v>
      </c>
      <c r="AZ86" s="24">
        <v>0</v>
      </c>
      <c r="BA86" s="24">
        <v>1686.73</v>
      </c>
      <c r="BB86" s="24">
        <v>0</v>
      </c>
      <c r="BC86" s="24">
        <v>1686.73</v>
      </c>
      <c r="BD86" s="24">
        <v>0</v>
      </c>
      <c r="BE86" s="24">
        <v>1686.73</v>
      </c>
      <c r="BF86" s="24">
        <v>0</v>
      </c>
      <c r="BG86" s="24">
        <v>7591.53</v>
      </c>
      <c r="BH86" s="24">
        <v>0</v>
      </c>
      <c r="BI86" s="24">
        <v>1686.73</v>
      </c>
      <c r="BJ86" s="9">
        <f t="shared" si="29"/>
        <v>0</v>
      </c>
      <c r="BK86" s="9">
        <f t="shared" si="30"/>
        <v>29114.429999999997</v>
      </c>
      <c r="BL86" s="153">
        <f t="shared" si="31"/>
        <v>29114.429999999997</v>
      </c>
      <c r="BM86" s="154"/>
      <c r="BN86" s="154"/>
      <c r="BO86" s="154"/>
      <c r="BP86" s="154"/>
      <c r="BQ86" s="154"/>
      <c r="BR86" s="155">
        <f t="shared" si="44"/>
        <v>29114.429999999997</v>
      </c>
      <c r="BS86" s="198">
        <v>779.06</v>
      </c>
      <c r="BT86" s="199"/>
      <c r="BU86" s="20">
        <f t="shared" si="42"/>
        <v>38706.134000000005</v>
      </c>
      <c r="BV86" s="231">
        <v>150722.52</v>
      </c>
      <c r="BW86" s="229"/>
      <c r="BX86" s="230"/>
    </row>
    <row r="87" spans="1:76" ht="15.75" customHeight="1">
      <c r="A87" s="1">
        <v>80</v>
      </c>
      <c r="B87" s="1" t="s">
        <v>76</v>
      </c>
      <c r="C87" s="1">
        <v>358.3</v>
      </c>
      <c r="D87" s="1">
        <v>0</v>
      </c>
      <c r="E87" s="1">
        <f t="shared" si="45"/>
        <v>358.3</v>
      </c>
      <c r="F87" s="2">
        <v>13.01</v>
      </c>
      <c r="G87" s="2">
        <f t="shared" si="24"/>
        <v>4661.483</v>
      </c>
      <c r="H87" s="2">
        <f t="shared" si="25"/>
        <v>27968.898</v>
      </c>
      <c r="I87" s="2">
        <f t="shared" si="32"/>
        <v>13.01</v>
      </c>
      <c r="J87" s="2">
        <f t="shared" si="33"/>
        <v>4661.483</v>
      </c>
      <c r="K87" s="2">
        <f t="shared" si="26"/>
        <v>27968.898</v>
      </c>
      <c r="L87" s="97">
        <f t="shared" si="27"/>
        <v>55937.796</v>
      </c>
      <c r="M87" s="109">
        <v>3.92</v>
      </c>
      <c r="N87" s="89">
        <f t="shared" si="34"/>
        <v>16854.432</v>
      </c>
      <c r="O87" s="64"/>
      <c r="P87" s="90">
        <f t="shared" si="35"/>
        <v>0</v>
      </c>
      <c r="Q87" s="64"/>
      <c r="R87" s="90">
        <f t="shared" si="36"/>
        <v>0</v>
      </c>
      <c r="S87" s="64"/>
      <c r="T87" s="91">
        <f t="shared" si="37"/>
        <v>0</v>
      </c>
      <c r="U87" s="64">
        <v>0</v>
      </c>
      <c r="V87" s="90">
        <f t="shared" si="38"/>
        <v>0</v>
      </c>
      <c r="W87" s="96"/>
      <c r="X87" s="91">
        <f t="shared" si="39"/>
        <v>0</v>
      </c>
      <c r="Y87" s="110">
        <f t="shared" si="43"/>
        <v>16854.432</v>
      </c>
      <c r="Z87" s="32"/>
      <c r="AA87" s="12">
        <f t="shared" si="40"/>
        <v>0</v>
      </c>
      <c r="AB87" s="25">
        <f t="shared" si="41"/>
        <v>55937.796</v>
      </c>
      <c r="AC87" s="44"/>
      <c r="AD87" s="8">
        <f t="shared" si="28"/>
        <v>55937.796</v>
      </c>
      <c r="AE87" s="167">
        <v>14454.912</v>
      </c>
      <c r="AF87" s="168">
        <v>0</v>
      </c>
      <c r="AG87" s="168">
        <v>4661.483</v>
      </c>
      <c r="AH87" s="168">
        <v>0</v>
      </c>
      <c r="AI87" s="168">
        <v>55937.796</v>
      </c>
      <c r="AJ87" s="59" t="s">
        <v>296</v>
      </c>
      <c r="AK87" s="59"/>
      <c r="AL87" s="45">
        <v>0</v>
      </c>
      <c r="AM87" s="45">
        <v>1208.16</v>
      </c>
      <c r="AN87" s="2">
        <v>0</v>
      </c>
      <c r="AO87" s="2">
        <v>1208.16</v>
      </c>
      <c r="AP87" s="1">
        <v>0</v>
      </c>
      <c r="AQ87" s="1">
        <v>2243.96</v>
      </c>
      <c r="AR87" s="24">
        <v>0</v>
      </c>
      <c r="AS87" s="24">
        <v>1906.66</v>
      </c>
      <c r="AT87" s="1">
        <v>0</v>
      </c>
      <c r="AU87" s="1">
        <v>1208.16</v>
      </c>
      <c r="AV87" s="24">
        <v>0</v>
      </c>
      <c r="AW87" s="24">
        <v>1208.16</v>
      </c>
      <c r="AX87" s="45">
        <v>0</v>
      </c>
      <c r="AY87" s="45">
        <v>1208.16</v>
      </c>
      <c r="AZ87" s="24">
        <v>0</v>
      </c>
      <c r="BA87" s="24">
        <v>1208.16</v>
      </c>
      <c r="BB87" s="24">
        <v>0</v>
      </c>
      <c r="BC87" s="24">
        <v>1208.16</v>
      </c>
      <c r="BD87" s="24">
        <v>0</v>
      </c>
      <c r="BE87" s="24">
        <v>1208.16</v>
      </c>
      <c r="BF87" s="24">
        <v>0</v>
      </c>
      <c r="BG87" s="24">
        <v>2034.16</v>
      </c>
      <c r="BH87" s="24">
        <v>0</v>
      </c>
      <c r="BI87" s="24">
        <v>1208.16</v>
      </c>
      <c r="BJ87" s="9">
        <f t="shared" si="29"/>
        <v>0</v>
      </c>
      <c r="BK87" s="9">
        <f t="shared" si="30"/>
        <v>17058.22</v>
      </c>
      <c r="BL87" s="153">
        <f t="shared" si="31"/>
        <v>17058.22</v>
      </c>
      <c r="BM87" s="154"/>
      <c r="BN87" s="154"/>
      <c r="BO87" s="154"/>
      <c r="BP87" s="154"/>
      <c r="BQ87" s="154"/>
      <c r="BR87" s="155">
        <f t="shared" si="44"/>
        <v>17058.22</v>
      </c>
      <c r="BS87" s="198"/>
      <c r="BT87" s="199"/>
      <c r="BU87" s="20">
        <f t="shared" si="42"/>
        <v>38879.576</v>
      </c>
      <c r="BV87" s="231">
        <v>448547.95</v>
      </c>
      <c r="BW87" s="229"/>
      <c r="BX87" s="230"/>
    </row>
    <row r="88" spans="1:76" ht="15.75" customHeight="1">
      <c r="A88" s="1">
        <v>81</v>
      </c>
      <c r="B88" s="1" t="s">
        <v>77</v>
      </c>
      <c r="C88" s="1">
        <v>522.3</v>
      </c>
      <c r="D88" s="1">
        <v>0</v>
      </c>
      <c r="E88" s="1">
        <f t="shared" si="45"/>
        <v>522.3</v>
      </c>
      <c r="F88" s="2">
        <v>10.47</v>
      </c>
      <c r="G88" s="2">
        <f t="shared" si="24"/>
        <v>5468.481</v>
      </c>
      <c r="H88" s="2">
        <f t="shared" si="25"/>
        <v>32810.886</v>
      </c>
      <c r="I88" s="2">
        <f t="shared" si="32"/>
        <v>10.47</v>
      </c>
      <c r="J88" s="2">
        <f t="shared" si="33"/>
        <v>5468.481</v>
      </c>
      <c r="K88" s="2">
        <f t="shared" si="26"/>
        <v>32810.886</v>
      </c>
      <c r="L88" s="97">
        <f t="shared" si="27"/>
        <v>65621.772</v>
      </c>
      <c r="M88" s="109">
        <v>3.92</v>
      </c>
      <c r="N88" s="89">
        <f t="shared" si="34"/>
        <v>24568.992</v>
      </c>
      <c r="O88" s="64">
        <v>1.46</v>
      </c>
      <c r="P88" s="90">
        <f t="shared" si="35"/>
        <v>9150.695999999998</v>
      </c>
      <c r="Q88" s="64"/>
      <c r="R88" s="90">
        <f t="shared" si="36"/>
        <v>0</v>
      </c>
      <c r="S88" s="64"/>
      <c r="T88" s="91">
        <f t="shared" si="37"/>
        <v>0</v>
      </c>
      <c r="U88" s="64">
        <v>2.22</v>
      </c>
      <c r="V88" s="90">
        <f t="shared" si="38"/>
        <v>13914.072</v>
      </c>
      <c r="W88" s="96"/>
      <c r="X88" s="91">
        <f t="shared" si="39"/>
        <v>0</v>
      </c>
      <c r="Y88" s="110">
        <f t="shared" si="43"/>
        <v>47633.759999999995</v>
      </c>
      <c r="Z88" s="32"/>
      <c r="AA88" s="12">
        <f t="shared" si="40"/>
        <v>0</v>
      </c>
      <c r="AB88" s="25">
        <f t="shared" si="41"/>
        <v>65621.772</v>
      </c>
      <c r="AC88" s="44"/>
      <c r="AD88" s="8">
        <f t="shared" si="28"/>
        <v>65621.772</v>
      </c>
      <c r="AE88" s="167">
        <v>19807.872</v>
      </c>
      <c r="AF88" s="168">
        <v>0</v>
      </c>
      <c r="AG88" s="168">
        <v>5468.481</v>
      </c>
      <c r="AH88" s="168">
        <v>0</v>
      </c>
      <c r="AI88" s="168">
        <v>65621.772</v>
      </c>
      <c r="AJ88" s="59" t="s">
        <v>299</v>
      </c>
      <c r="AK88" s="59"/>
      <c r="AL88" s="45">
        <v>0</v>
      </c>
      <c r="AM88" s="45">
        <v>1651.78</v>
      </c>
      <c r="AN88" s="2">
        <v>0</v>
      </c>
      <c r="AO88" s="2">
        <v>1651.78</v>
      </c>
      <c r="AP88" s="1">
        <v>0</v>
      </c>
      <c r="AQ88" s="1">
        <v>1651.78</v>
      </c>
      <c r="AR88" s="24">
        <v>0</v>
      </c>
      <c r="AS88" s="24">
        <v>4620.65</v>
      </c>
      <c r="AT88" s="1">
        <v>0</v>
      </c>
      <c r="AU88" s="1">
        <v>1651.78</v>
      </c>
      <c r="AV88" s="24">
        <v>0</v>
      </c>
      <c r="AW88" s="24">
        <v>1651.78</v>
      </c>
      <c r="AX88" s="45">
        <v>0</v>
      </c>
      <c r="AY88" s="45">
        <v>1651.78</v>
      </c>
      <c r="AZ88" s="24">
        <v>0</v>
      </c>
      <c r="BA88" s="24">
        <v>1651.78</v>
      </c>
      <c r="BB88" s="24">
        <v>0</v>
      </c>
      <c r="BC88" s="24">
        <v>16217.36</v>
      </c>
      <c r="BD88" s="24">
        <v>0</v>
      </c>
      <c r="BE88" s="24">
        <v>5971.78</v>
      </c>
      <c r="BF88" s="24">
        <v>0</v>
      </c>
      <c r="BG88" s="24">
        <v>3159.78</v>
      </c>
      <c r="BH88" s="24">
        <v>0</v>
      </c>
      <c r="BI88" s="24">
        <v>1651.78</v>
      </c>
      <c r="BJ88" s="9">
        <f t="shared" si="29"/>
        <v>0</v>
      </c>
      <c r="BK88" s="9">
        <f t="shared" si="30"/>
        <v>43183.81</v>
      </c>
      <c r="BL88" s="153">
        <f t="shared" si="31"/>
        <v>43183.81</v>
      </c>
      <c r="BM88" s="154"/>
      <c r="BN88" s="154"/>
      <c r="BO88" s="154"/>
      <c r="BP88" s="154"/>
      <c r="BQ88" s="154"/>
      <c r="BR88" s="155">
        <f t="shared" si="44"/>
        <v>43183.81</v>
      </c>
      <c r="BS88" s="198">
        <v>759.78</v>
      </c>
      <c r="BT88" s="199">
        <v>13836</v>
      </c>
      <c r="BU88" s="20">
        <f t="shared" si="42"/>
        <v>23197.742</v>
      </c>
      <c r="BV88" s="231">
        <v>11511.17</v>
      </c>
      <c r="BW88" s="229"/>
      <c r="BX88" s="230"/>
    </row>
    <row r="89" spans="1:76" ht="15.75">
      <c r="A89" s="1">
        <v>82</v>
      </c>
      <c r="B89" s="1" t="s">
        <v>78</v>
      </c>
      <c r="C89" s="1">
        <v>406.1</v>
      </c>
      <c r="D89" s="1">
        <v>0</v>
      </c>
      <c r="E89" s="1">
        <f t="shared" si="45"/>
        <v>406.1</v>
      </c>
      <c r="F89" s="2">
        <v>13.23</v>
      </c>
      <c r="G89" s="2">
        <f t="shared" si="24"/>
        <v>5372.703</v>
      </c>
      <c r="H89" s="2">
        <f t="shared" si="25"/>
        <v>32236.218</v>
      </c>
      <c r="I89" s="2">
        <f t="shared" si="32"/>
        <v>13.23</v>
      </c>
      <c r="J89" s="2">
        <f t="shared" si="33"/>
        <v>5372.703</v>
      </c>
      <c r="K89" s="2">
        <f t="shared" si="26"/>
        <v>32236.218</v>
      </c>
      <c r="L89" s="97">
        <f t="shared" si="27"/>
        <v>64472.436</v>
      </c>
      <c r="M89" s="109">
        <v>3.92</v>
      </c>
      <c r="N89" s="89">
        <f t="shared" si="34"/>
        <v>19102.944</v>
      </c>
      <c r="O89" s="64">
        <v>1.46</v>
      </c>
      <c r="P89" s="90">
        <f t="shared" si="35"/>
        <v>7114.872000000001</v>
      </c>
      <c r="Q89" s="64">
        <v>0.52</v>
      </c>
      <c r="R89" s="90">
        <f t="shared" si="36"/>
        <v>2534.0640000000003</v>
      </c>
      <c r="S89" s="64">
        <v>0.89</v>
      </c>
      <c r="T89" s="91">
        <f t="shared" si="37"/>
        <v>4337.148</v>
      </c>
      <c r="U89" s="64">
        <v>0</v>
      </c>
      <c r="V89" s="90">
        <f t="shared" si="38"/>
        <v>0</v>
      </c>
      <c r="W89" s="96"/>
      <c r="X89" s="91">
        <f t="shared" si="39"/>
        <v>0</v>
      </c>
      <c r="Y89" s="110">
        <f t="shared" si="43"/>
        <v>33089.028</v>
      </c>
      <c r="Z89" s="32">
        <v>-187373.56</v>
      </c>
      <c r="AA89" s="12">
        <f t="shared" si="40"/>
        <v>-2.906258420265057</v>
      </c>
      <c r="AB89" s="25">
        <f t="shared" si="41"/>
        <v>-122901.124</v>
      </c>
      <c r="AC89" s="44"/>
      <c r="AD89" s="8">
        <f t="shared" si="28"/>
        <v>-122901.124</v>
      </c>
      <c r="AE89" s="167">
        <v>16015.104000000001</v>
      </c>
      <c r="AF89" s="168">
        <v>0</v>
      </c>
      <c r="AG89" s="168">
        <v>1334.592</v>
      </c>
      <c r="AH89" s="168">
        <v>0</v>
      </c>
      <c r="AI89" s="168">
        <v>16015.104000000001</v>
      </c>
      <c r="AJ89" s="59" t="s">
        <v>296</v>
      </c>
      <c r="AK89" s="26" t="s">
        <v>352</v>
      </c>
      <c r="AL89" s="45">
        <v>0</v>
      </c>
      <c r="AM89" s="45">
        <v>1338.65</v>
      </c>
      <c r="AN89" s="2">
        <v>0</v>
      </c>
      <c r="AO89" s="2">
        <v>1338.65</v>
      </c>
      <c r="AP89" s="1">
        <v>0</v>
      </c>
      <c r="AQ89" s="1">
        <v>22648.19</v>
      </c>
      <c r="AR89" s="24">
        <v>0</v>
      </c>
      <c r="AS89" s="24">
        <v>2037.15</v>
      </c>
      <c r="AT89" s="1">
        <v>0</v>
      </c>
      <c r="AU89" s="1">
        <v>1338.65</v>
      </c>
      <c r="AV89" s="24">
        <v>0</v>
      </c>
      <c r="AW89" s="24">
        <v>1338.65</v>
      </c>
      <c r="AX89" s="45">
        <v>0</v>
      </c>
      <c r="AY89" s="45">
        <v>1338.65</v>
      </c>
      <c r="AZ89" s="24">
        <v>0</v>
      </c>
      <c r="BA89" s="24">
        <v>1338.65</v>
      </c>
      <c r="BB89" s="24">
        <v>0</v>
      </c>
      <c r="BC89" s="24">
        <v>1338.65</v>
      </c>
      <c r="BD89" s="24">
        <v>0</v>
      </c>
      <c r="BE89" s="24">
        <v>11916.35</v>
      </c>
      <c r="BF89" s="24">
        <v>0</v>
      </c>
      <c r="BG89" s="24">
        <v>2846.65</v>
      </c>
      <c r="BH89" s="24">
        <v>0</v>
      </c>
      <c r="BI89" s="24">
        <v>1338.65</v>
      </c>
      <c r="BJ89" s="9">
        <f t="shared" si="29"/>
        <v>0</v>
      </c>
      <c r="BK89" s="9">
        <f t="shared" si="30"/>
        <v>50157.54000000001</v>
      </c>
      <c r="BL89" s="153">
        <f t="shared" si="31"/>
        <v>50157.54000000001</v>
      </c>
      <c r="BM89" s="154"/>
      <c r="BN89" s="154"/>
      <c r="BO89" s="154">
        <v>315.94</v>
      </c>
      <c r="BP89" s="154"/>
      <c r="BQ89" s="154"/>
      <c r="BR89" s="155">
        <f t="shared" si="44"/>
        <v>50473.48000000001</v>
      </c>
      <c r="BS89" s="154">
        <f>1169.57+1185.81</f>
        <v>2355.38</v>
      </c>
      <c r="BT89" s="199"/>
      <c r="BU89" s="20">
        <f t="shared" si="42"/>
        <v>-171019.224</v>
      </c>
      <c r="BV89" s="231">
        <v>164889.45</v>
      </c>
      <c r="BW89" s="229"/>
      <c r="BX89" s="230"/>
    </row>
    <row r="90" spans="1:76" ht="15.75" customHeight="1">
      <c r="A90" s="1">
        <v>83</v>
      </c>
      <c r="B90" s="1" t="s">
        <v>79</v>
      </c>
      <c r="C90" s="1">
        <v>527.1</v>
      </c>
      <c r="D90" s="1">
        <v>0</v>
      </c>
      <c r="E90" s="1">
        <f t="shared" si="45"/>
        <v>527.1</v>
      </c>
      <c r="F90" s="2">
        <v>11.89</v>
      </c>
      <c r="G90" s="2">
        <f t="shared" si="24"/>
        <v>6267.219000000001</v>
      </c>
      <c r="H90" s="2">
        <f t="shared" si="25"/>
        <v>37603.314000000006</v>
      </c>
      <c r="I90" s="2">
        <f t="shared" si="32"/>
        <v>11.89</v>
      </c>
      <c r="J90" s="2">
        <f t="shared" si="33"/>
        <v>6267.219000000001</v>
      </c>
      <c r="K90" s="2">
        <f t="shared" si="26"/>
        <v>37603.314000000006</v>
      </c>
      <c r="L90" s="97">
        <f t="shared" si="27"/>
        <v>75206.62800000001</v>
      </c>
      <c r="M90" s="109">
        <v>3.92</v>
      </c>
      <c r="N90" s="89">
        <f t="shared" si="34"/>
        <v>24794.784</v>
      </c>
      <c r="O90" s="64">
        <v>1.46</v>
      </c>
      <c r="P90" s="90">
        <f t="shared" si="35"/>
        <v>9234.792000000001</v>
      </c>
      <c r="Q90" s="64"/>
      <c r="R90" s="90">
        <f t="shared" si="36"/>
        <v>0</v>
      </c>
      <c r="S90" s="64"/>
      <c r="T90" s="91">
        <f t="shared" si="37"/>
        <v>0</v>
      </c>
      <c r="U90" s="64">
        <v>2.19</v>
      </c>
      <c r="V90" s="90">
        <f t="shared" si="38"/>
        <v>13852.187999999998</v>
      </c>
      <c r="W90" s="96"/>
      <c r="X90" s="91">
        <f t="shared" si="39"/>
        <v>0</v>
      </c>
      <c r="Y90" s="110">
        <f t="shared" si="43"/>
        <v>47881.763999999996</v>
      </c>
      <c r="Z90" s="32"/>
      <c r="AA90" s="12">
        <f t="shared" si="40"/>
        <v>0</v>
      </c>
      <c r="AB90" s="25">
        <f t="shared" si="41"/>
        <v>75206.62800000001</v>
      </c>
      <c r="AC90" s="44"/>
      <c r="AD90" s="8">
        <f t="shared" si="28"/>
        <v>75206.62800000001</v>
      </c>
      <c r="AE90" s="167">
        <v>19964.544</v>
      </c>
      <c r="AF90" s="168">
        <v>0</v>
      </c>
      <c r="AG90" s="168">
        <v>6267.219000000001</v>
      </c>
      <c r="AH90" s="168">
        <v>0</v>
      </c>
      <c r="AI90" s="168">
        <v>75206.62800000001</v>
      </c>
      <c r="AJ90" s="59" t="s">
        <v>299</v>
      </c>
      <c r="AK90" s="59"/>
      <c r="AL90" s="45">
        <v>0</v>
      </c>
      <c r="AM90" s="45">
        <v>6532.53</v>
      </c>
      <c r="AN90" s="2">
        <v>0</v>
      </c>
      <c r="AO90" s="2">
        <v>1438.98</v>
      </c>
      <c r="AP90" s="1">
        <v>0</v>
      </c>
      <c r="AQ90" s="1">
        <v>1438.98</v>
      </c>
      <c r="AR90" s="24">
        <v>0</v>
      </c>
      <c r="AS90" s="24">
        <v>4985.35</v>
      </c>
      <c r="AT90" s="1">
        <v>0</v>
      </c>
      <c r="AU90" s="1">
        <v>1438.98</v>
      </c>
      <c r="AV90" s="24">
        <v>0</v>
      </c>
      <c r="AW90" s="24">
        <v>1438.98</v>
      </c>
      <c r="AX90" s="45">
        <v>0</v>
      </c>
      <c r="AY90" s="45">
        <v>2518.98</v>
      </c>
      <c r="AZ90" s="24">
        <v>0</v>
      </c>
      <c r="BA90" s="24">
        <v>1438.98</v>
      </c>
      <c r="BB90" s="24">
        <v>0</v>
      </c>
      <c r="BC90" s="24">
        <v>1438.98</v>
      </c>
      <c r="BD90" s="24">
        <v>0</v>
      </c>
      <c r="BE90" s="24">
        <v>1438.98</v>
      </c>
      <c r="BF90" s="24">
        <v>0</v>
      </c>
      <c r="BG90" s="24">
        <v>2946.98</v>
      </c>
      <c r="BH90" s="24">
        <v>0</v>
      </c>
      <c r="BI90" s="24">
        <v>1438.98</v>
      </c>
      <c r="BJ90" s="9">
        <f t="shared" si="29"/>
        <v>0</v>
      </c>
      <c r="BK90" s="9">
        <f t="shared" si="30"/>
        <v>28495.679999999997</v>
      </c>
      <c r="BL90" s="153">
        <f t="shared" si="31"/>
        <v>28495.679999999997</v>
      </c>
      <c r="BM90" s="154"/>
      <c r="BN90" s="154"/>
      <c r="BO90" s="154"/>
      <c r="BP90" s="154">
        <v>662.74</v>
      </c>
      <c r="BQ90" s="154"/>
      <c r="BR90" s="155">
        <f t="shared" si="44"/>
        <v>29158.42</v>
      </c>
      <c r="BS90" s="198">
        <v>769.57</v>
      </c>
      <c r="BT90" s="199"/>
      <c r="BU90" s="20">
        <f t="shared" si="42"/>
        <v>46817.77800000001</v>
      </c>
      <c r="BV90" s="231">
        <v>10168.63</v>
      </c>
      <c r="BW90" s="229"/>
      <c r="BX90" s="230"/>
    </row>
    <row r="91" spans="1:76" ht="15.75" customHeight="1">
      <c r="A91" s="1">
        <v>84</v>
      </c>
      <c r="B91" s="1" t="s">
        <v>80</v>
      </c>
      <c r="C91" s="1">
        <v>626.5</v>
      </c>
      <c r="D91" s="1">
        <v>0</v>
      </c>
      <c r="E91" s="1">
        <f t="shared" si="45"/>
        <v>626.5</v>
      </c>
      <c r="F91" s="2">
        <v>13.01</v>
      </c>
      <c r="G91" s="2">
        <f t="shared" si="24"/>
        <v>8150.764999999999</v>
      </c>
      <c r="H91" s="2">
        <f t="shared" si="25"/>
        <v>48904.59</v>
      </c>
      <c r="I91" s="2">
        <f t="shared" si="32"/>
        <v>13.01</v>
      </c>
      <c r="J91" s="2">
        <f t="shared" si="33"/>
        <v>8150.764999999999</v>
      </c>
      <c r="K91" s="2">
        <f t="shared" si="26"/>
        <v>48904.59</v>
      </c>
      <c r="L91" s="97">
        <f t="shared" si="27"/>
        <v>97809.18</v>
      </c>
      <c r="M91" s="109">
        <v>3.92</v>
      </c>
      <c r="N91" s="89">
        <f t="shared" si="34"/>
        <v>29470.56</v>
      </c>
      <c r="O91" s="64">
        <v>1.46</v>
      </c>
      <c r="P91" s="90">
        <f t="shared" si="35"/>
        <v>10976.279999999999</v>
      </c>
      <c r="Q91" s="64"/>
      <c r="R91" s="90">
        <f t="shared" si="36"/>
        <v>0</v>
      </c>
      <c r="S91" s="64"/>
      <c r="T91" s="91">
        <f t="shared" si="37"/>
        <v>0</v>
      </c>
      <c r="U91" s="64">
        <v>0</v>
      </c>
      <c r="V91" s="90">
        <f t="shared" si="38"/>
        <v>0</v>
      </c>
      <c r="W91" s="96"/>
      <c r="X91" s="91">
        <f t="shared" si="39"/>
        <v>0</v>
      </c>
      <c r="Y91" s="110">
        <f t="shared" si="43"/>
        <v>40446.84</v>
      </c>
      <c r="Z91" s="32"/>
      <c r="AA91" s="12">
        <f t="shared" si="40"/>
        <v>0</v>
      </c>
      <c r="AB91" s="25">
        <f t="shared" si="41"/>
        <v>97809.18</v>
      </c>
      <c r="AC91" s="44"/>
      <c r="AD91" s="8">
        <f t="shared" si="28"/>
        <v>97809.18</v>
      </c>
      <c r="AE91" s="167">
        <v>25968.96</v>
      </c>
      <c r="AF91" s="168">
        <v>0</v>
      </c>
      <c r="AG91" s="168">
        <v>8150.764999999999</v>
      </c>
      <c r="AH91" s="168">
        <v>0</v>
      </c>
      <c r="AI91" s="168">
        <v>97809.18</v>
      </c>
      <c r="AJ91" s="59" t="s">
        <v>296</v>
      </c>
      <c r="AK91" s="59"/>
      <c r="AL91" s="45">
        <v>0</v>
      </c>
      <c r="AM91" s="45">
        <v>2170.35</v>
      </c>
      <c r="AN91" s="2">
        <v>0</v>
      </c>
      <c r="AO91" s="2">
        <v>2170.35</v>
      </c>
      <c r="AP91" s="1">
        <v>0</v>
      </c>
      <c r="AQ91" s="1">
        <v>8306.61</v>
      </c>
      <c r="AR91" s="24">
        <v>0</v>
      </c>
      <c r="AS91" s="24">
        <v>5838.1</v>
      </c>
      <c r="AT91" s="1">
        <v>0</v>
      </c>
      <c r="AU91" s="1">
        <v>2170.35</v>
      </c>
      <c r="AV91" s="24">
        <v>0</v>
      </c>
      <c r="AW91" s="24">
        <v>2170.35</v>
      </c>
      <c r="AX91" s="45">
        <v>0</v>
      </c>
      <c r="AY91" s="45">
        <v>39295.13</v>
      </c>
      <c r="AZ91" s="24">
        <v>0</v>
      </c>
      <c r="BA91" s="24">
        <v>18143.67</v>
      </c>
      <c r="BB91" s="24">
        <v>0</v>
      </c>
      <c r="BC91" s="24">
        <v>49077.12</v>
      </c>
      <c r="BD91" s="24">
        <v>0</v>
      </c>
      <c r="BE91" s="24">
        <v>18189.46</v>
      </c>
      <c r="BF91" s="24">
        <v>0</v>
      </c>
      <c r="BG91" s="24">
        <v>3678.35</v>
      </c>
      <c r="BH91" s="24">
        <v>0</v>
      </c>
      <c r="BI91" s="24">
        <v>6081.71</v>
      </c>
      <c r="BJ91" s="9">
        <f t="shared" si="29"/>
        <v>0</v>
      </c>
      <c r="BK91" s="9">
        <f t="shared" si="30"/>
        <v>157291.55</v>
      </c>
      <c r="BL91" s="153">
        <f t="shared" si="31"/>
        <v>157291.55</v>
      </c>
      <c r="BM91" s="154"/>
      <c r="BN91" s="154"/>
      <c r="BO91" s="154"/>
      <c r="BP91" s="154"/>
      <c r="BQ91" s="154"/>
      <c r="BR91" s="155">
        <f t="shared" si="44"/>
        <v>157291.55</v>
      </c>
      <c r="BS91" s="154">
        <f>1804.32+1829.38</f>
        <v>3633.7</v>
      </c>
      <c r="BT91" s="199"/>
      <c r="BU91" s="20">
        <f t="shared" si="42"/>
        <v>-55848.67</v>
      </c>
      <c r="BV91" s="231">
        <v>214057.08</v>
      </c>
      <c r="BW91" s="229"/>
      <c r="BX91" s="230"/>
    </row>
    <row r="92" spans="1:76" ht="15.75" customHeight="1">
      <c r="A92" s="1">
        <v>85</v>
      </c>
      <c r="B92" s="1" t="s">
        <v>81</v>
      </c>
      <c r="C92" s="1">
        <v>783.2</v>
      </c>
      <c r="D92" s="1">
        <v>0</v>
      </c>
      <c r="E92" s="1">
        <f t="shared" si="45"/>
        <v>783.2</v>
      </c>
      <c r="F92" s="2">
        <v>8.94</v>
      </c>
      <c r="G92" s="2">
        <f t="shared" si="24"/>
        <v>7001.808</v>
      </c>
      <c r="H92" s="2">
        <f t="shared" si="25"/>
        <v>42010.848</v>
      </c>
      <c r="I92" s="2">
        <f t="shared" si="32"/>
        <v>8.94</v>
      </c>
      <c r="J92" s="2">
        <f t="shared" si="33"/>
        <v>7001.808</v>
      </c>
      <c r="K92" s="2">
        <f t="shared" si="26"/>
        <v>42010.848</v>
      </c>
      <c r="L92" s="97">
        <f t="shared" si="27"/>
        <v>84021.696</v>
      </c>
      <c r="M92" s="109">
        <v>3.92</v>
      </c>
      <c r="N92" s="89">
        <f t="shared" si="34"/>
        <v>36841.728</v>
      </c>
      <c r="O92" s="64">
        <v>1.46</v>
      </c>
      <c r="P92" s="90">
        <f t="shared" si="35"/>
        <v>13721.664</v>
      </c>
      <c r="Q92" s="64"/>
      <c r="R92" s="90">
        <f t="shared" si="36"/>
        <v>0</v>
      </c>
      <c r="S92" s="64"/>
      <c r="T92" s="91">
        <f t="shared" si="37"/>
        <v>0</v>
      </c>
      <c r="U92" s="64">
        <v>0</v>
      </c>
      <c r="V92" s="90">
        <f t="shared" si="38"/>
        <v>0</v>
      </c>
      <c r="W92" s="96"/>
      <c r="X92" s="91">
        <f t="shared" si="39"/>
        <v>0</v>
      </c>
      <c r="Y92" s="110">
        <f t="shared" si="43"/>
        <v>50563.39200000001</v>
      </c>
      <c r="Z92" s="32">
        <v>-488521.12</v>
      </c>
      <c r="AA92" s="12">
        <f t="shared" si="40"/>
        <v>-5.814225887561232</v>
      </c>
      <c r="AB92" s="25">
        <f t="shared" si="41"/>
        <v>-404499.424</v>
      </c>
      <c r="AC92" s="44"/>
      <c r="AD92" s="8">
        <f t="shared" si="28"/>
        <v>-404499.424</v>
      </c>
      <c r="AE92" s="167">
        <v>28323.648</v>
      </c>
      <c r="AF92" s="168">
        <v>0</v>
      </c>
      <c r="AG92" s="168">
        <v>2360.304</v>
      </c>
      <c r="AH92" s="168">
        <v>0</v>
      </c>
      <c r="AI92" s="168">
        <v>28323.648</v>
      </c>
      <c r="AJ92" s="59" t="s">
        <v>299</v>
      </c>
      <c r="AK92" s="26" t="s">
        <v>352</v>
      </c>
      <c r="AL92" s="45">
        <v>0</v>
      </c>
      <c r="AM92" s="45">
        <v>2368.14</v>
      </c>
      <c r="AN92" s="2">
        <v>0</v>
      </c>
      <c r="AO92" s="2">
        <v>2368.14</v>
      </c>
      <c r="AP92" s="1">
        <v>0</v>
      </c>
      <c r="AQ92" s="1">
        <v>2368.14</v>
      </c>
      <c r="AR92" s="24">
        <v>0</v>
      </c>
      <c r="AS92" s="24">
        <v>3066.64</v>
      </c>
      <c r="AT92" s="1">
        <v>0</v>
      </c>
      <c r="AU92" s="1">
        <v>2368.14</v>
      </c>
      <c r="AV92" s="24">
        <v>0</v>
      </c>
      <c r="AW92" s="24">
        <v>2368.14</v>
      </c>
      <c r="AX92" s="45">
        <v>0</v>
      </c>
      <c r="AY92" s="45">
        <v>2368.14</v>
      </c>
      <c r="AZ92" s="24">
        <v>0</v>
      </c>
      <c r="BA92" s="24">
        <v>2368.14</v>
      </c>
      <c r="BB92" s="24">
        <v>0</v>
      </c>
      <c r="BC92" s="24">
        <v>2368.14</v>
      </c>
      <c r="BD92" s="24">
        <v>0</v>
      </c>
      <c r="BE92" s="24">
        <v>2368.14</v>
      </c>
      <c r="BF92" s="24">
        <v>0</v>
      </c>
      <c r="BG92" s="24">
        <v>3194.14</v>
      </c>
      <c r="BH92" s="24">
        <v>0</v>
      </c>
      <c r="BI92" s="24">
        <v>2368.14</v>
      </c>
      <c r="BJ92" s="9">
        <f t="shared" si="29"/>
        <v>0</v>
      </c>
      <c r="BK92" s="9">
        <f t="shared" si="30"/>
        <v>29942.179999999997</v>
      </c>
      <c r="BL92" s="153">
        <f t="shared" si="31"/>
        <v>29942.179999999997</v>
      </c>
      <c r="BM92" s="154"/>
      <c r="BN92" s="154">
        <v>17660.51</v>
      </c>
      <c r="BO92" s="154"/>
      <c r="BP92" s="154"/>
      <c r="BQ92" s="154"/>
      <c r="BR92" s="155">
        <f t="shared" si="44"/>
        <v>47602.689999999995</v>
      </c>
      <c r="BS92" s="154">
        <f>2255.62+2286.94</f>
        <v>4542.5599999999995</v>
      </c>
      <c r="BT92" s="199"/>
      <c r="BU92" s="20">
        <f t="shared" si="42"/>
        <v>-447559.554</v>
      </c>
      <c r="BV92" s="231">
        <v>561174.2</v>
      </c>
      <c r="BW92" s="229"/>
      <c r="BX92" s="230"/>
    </row>
    <row r="93" spans="1:76" ht="15.75" customHeight="1">
      <c r="A93" s="1">
        <v>86</v>
      </c>
      <c r="B93" s="1" t="s">
        <v>82</v>
      </c>
      <c r="C93" s="1">
        <v>721.2</v>
      </c>
      <c r="D93" s="1">
        <v>72.3</v>
      </c>
      <c r="E93" s="1">
        <f t="shared" si="45"/>
        <v>793.5</v>
      </c>
      <c r="F93" s="2">
        <v>13.78</v>
      </c>
      <c r="G93" s="2">
        <f t="shared" si="24"/>
        <v>10934.43</v>
      </c>
      <c r="H93" s="2">
        <f t="shared" si="25"/>
        <v>65606.58</v>
      </c>
      <c r="I93" s="2">
        <f t="shared" si="32"/>
        <v>13.78</v>
      </c>
      <c r="J93" s="2">
        <f t="shared" si="33"/>
        <v>10934.43</v>
      </c>
      <c r="K93" s="2">
        <f t="shared" si="26"/>
        <v>65606.58</v>
      </c>
      <c r="L93" s="97">
        <f t="shared" si="27"/>
        <v>131213.16</v>
      </c>
      <c r="M93" s="109">
        <v>3.92</v>
      </c>
      <c r="N93" s="89">
        <f t="shared" si="34"/>
        <v>37326.24</v>
      </c>
      <c r="O93" s="64">
        <v>1.46</v>
      </c>
      <c r="P93" s="90">
        <f t="shared" si="35"/>
        <v>13902.119999999999</v>
      </c>
      <c r="Q93" s="64"/>
      <c r="R93" s="90">
        <f t="shared" si="36"/>
        <v>0</v>
      </c>
      <c r="S93" s="64"/>
      <c r="T93" s="91">
        <f t="shared" si="37"/>
        <v>0</v>
      </c>
      <c r="U93" s="64">
        <v>0</v>
      </c>
      <c r="V93" s="90">
        <f t="shared" si="38"/>
        <v>0</v>
      </c>
      <c r="W93" s="96"/>
      <c r="X93" s="91">
        <f t="shared" si="39"/>
        <v>0</v>
      </c>
      <c r="Y93" s="110">
        <f t="shared" si="43"/>
        <v>51228.36</v>
      </c>
      <c r="Z93" s="32">
        <v>-54042.91</v>
      </c>
      <c r="AA93" s="12">
        <f t="shared" si="40"/>
        <v>-0.4118711110989172</v>
      </c>
      <c r="AB93" s="25">
        <f t="shared" si="41"/>
        <v>77170.25</v>
      </c>
      <c r="AC93" s="44"/>
      <c r="AD93" s="8">
        <f t="shared" si="28"/>
        <v>77170.25</v>
      </c>
      <c r="AE93" s="167">
        <v>25899.840000000004</v>
      </c>
      <c r="AF93" s="168">
        <v>0</v>
      </c>
      <c r="AG93" s="168">
        <v>6430.854166666667</v>
      </c>
      <c r="AH93" s="168">
        <v>0</v>
      </c>
      <c r="AI93" s="168">
        <v>77170.25</v>
      </c>
      <c r="AJ93" s="59" t="s">
        <v>296</v>
      </c>
      <c r="AK93" s="58"/>
      <c r="AL93" s="45">
        <v>0</v>
      </c>
      <c r="AM93" s="45">
        <v>2396.26</v>
      </c>
      <c r="AN93" s="2">
        <v>0</v>
      </c>
      <c r="AO93" s="2">
        <v>3729.45</v>
      </c>
      <c r="AP93" s="1">
        <v>0</v>
      </c>
      <c r="AQ93" s="1">
        <v>16713.64</v>
      </c>
      <c r="AR93" s="24">
        <v>0</v>
      </c>
      <c r="AS93" s="24">
        <v>3672.26</v>
      </c>
      <c r="AT93" s="1">
        <v>0</v>
      </c>
      <c r="AU93" s="1">
        <v>10369.86</v>
      </c>
      <c r="AV93" s="24">
        <v>0</v>
      </c>
      <c r="AW93" s="24">
        <v>2396.26</v>
      </c>
      <c r="AX93" s="45">
        <v>0</v>
      </c>
      <c r="AY93" s="45">
        <v>2396.26</v>
      </c>
      <c r="AZ93" s="24">
        <v>0</v>
      </c>
      <c r="BA93" s="24">
        <v>2396.26</v>
      </c>
      <c r="BB93" s="24">
        <v>0</v>
      </c>
      <c r="BC93" s="24">
        <v>2396.26</v>
      </c>
      <c r="BD93" s="24">
        <v>0</v>
      </c>
      <c r="BE93" s="24">
        <v>5415.66</v>
      </c>
      <c r="BF93" s="24">
        <v>0</v>
      </c>
      <c r="BG93" s="24">
        <v>8583.26</v>
      </c>
      <c r="BH93" s="24">
        <v>0</v>
      </c>
      <c r="BI93" s="24">
        <v>8962.16</v>
      </c>
      <c r="BJ93" s="9">
        <f t="shared" si="29"/>
        <v>0</v>
      </c>
      <c r="BK93" s="9">
        <f t="shared" si="30"/>
        <v>69427.59000000001</v>
      </c>
      <c r="BL93" s="153">
        <f t="shared" si="31"/>
        <v>69427.59000000001</v>
      </c>
      <c r="BM93" s="154"/>
      <c r="BN93" s="154">
        <v>2777.83</v>
      </c>
      <c r="BO93" s="154"/>
      <c r="BP93" s="154"/>
      <c r="BQ93" s="154"/>
      <c r="BR93" s="155">
        <f t="shared" si="44"/>
        <v>72205.42000000001</v>
      </c>
      <c r="BS93" s="198">
        <v>579.26</v>
      </c>
      <c r="BT93" s="199"/>
      <c r="BU93" s="20">
        <f t="shared" si="42"/>
        <v>5544.089999999987</v>
      </c>
      <c r="BV93" s="231">
        <v>18463.47</v>
      </c>
      <c r="BW93" s="229"/>
      <c r="BX93" s="230"/>
    </row>
    <row r="94" spans="1:76" ht="15.75">
      <c r="A94" s="1">
        <v>87</v>
      </c>
      <c r="B94" s="1" t="s">
        <v>83</v>
      </c>
      <c r="C94" s="1">
        <v>782.5</v>
      </c>
      <c r="D94" s="1">
        <v>0</v>
      </c>
      <c r="E94" s="1">
        <f t="shared" si="45"/>
        <v>782.5</v>
      </c>
      <c r="F94" s="2">
        <v>9.78</v>
      </c>
      <c r="G94" s="2">
        <f t="shared" si="24"/>
        <v>7652.849999999999</v>
      </c>
      <c r="H94" s="2">
        <f t="shared" si="25"/>
        <v>45917.1</v>
      </c>
      <c r="I94" s="2">
        <f t="shared" si="32"/>
        <v>9.78</v>
      </c>
      <c r="J94" s="2">
        <f t="shared" si="33"/>
        <v>7652.849999999999</v>
      </c>
      <c r="K94" s="2">
        <f t="shared" si="26"/>
        <v>45917.1</v>
      </c>
      <c r="L94" s="97">
        <f t="shared" si="27"/>
        <v>91834.2</v>
      </c>
      <c r="M94" s="109">
        <v>3.92</v>
      </c>
      <c r="N94" s="89">
        <f t="shared" si="34"/>
        <v>36808.8</v>
      </c>
      <c r="O94" s="64">
        <v>1.46</v>
      </c>
      <c r="P94" s="90">
        <f t="shared" si="35"/>
        <v>13709.400000000001</v>
      </c>
      <c r="Q94" s="64"/>
      <c r="R94" s="90">
        <f t="shared" si="36"/>
        <v>0</v>
      </c>
      <c r="S94" s="64"/>
      <c r="T94" s="91">
        <f t="shared" si="37"/>
        <v>0</v>
      </c>
      <c r="U94" s="64">
        <v>0</v>
      </c>
      <c r="V94" s="90">
        <f t="shared" si="38"/>
        <v>0</v>
      </c>
      <c r="W94" s="96"/>
      <c r="X94" s="91">
        <f t="shared" si="39"/>
        <v>0</v>
      </c>
      <c r="Y94" s="110">
        <f t="shared" si="43"/>
        <v>50518.200000000004</v>
      </c>
      <c r="Z94" s="32">
        <v>-107885.59</v>
      </c>
      <c r="AA94" s="12">
        <f t="shared" si="40"/>
        <v>-1.174786626333109</v>
      </c>
      <c r="AB94" s="25">
        <f t="shared" si="41"/>
        <v>-16051.39</v>
      </c>
      <c r="AC94" s="44"/>
      <c r="AD94" s="8">
        <f t="shared" si="28"/>
        <v>-16051.39</v>
      </c>
      <c r="AE94" s="167">
        <v>25540.800000000003</v>
      </c>
      <c r="AF94" s="168">
        <v>0</v>
      </c>
      <c r="AG94" s="168">
        <v>2128.4</v>
      </c>
      <c r="AH94" s="168">
        <v>0</v>
      </c>
      <c r="AI94" s="168">
        <v>25540.800000000003</v>
      </c>
      <c r="AJ94" s="59" t="s">
        <v>299</v>
      </c>
      <c r="AK94" s="26" t="s">
        <v>352</v>
      </c>
      <c r="AL94" s="45">
        <v>0</v>
      </c>
      <c r="AM94" s="45">
        <v>2136.23</v>
      </c>
      <c r="AN94" s="2">
        <v>0</v>
      </c>
      <c r="AO94" s="2">
        <v>3469.42</v>
      </c>
      <c r="AP94" s="1">
        <v>0</v>
      </c>
      <c r="AQ94" s="1">
        <v>3172.03</v>
      </c>
      <c r="AR94" s="24">
        <v>0</v>
      </c>
      <c r="AS94" s="24">
        <v>4167.92</v>
      </c>
      <c r="AT94" s="1">
        <v>0</v>
      </c>
      <c r="AU94" s="1">
        <v>9769.14</v>
      </c>
      <c r="AV94" s="24">
        <v>0</v>
      </c>
      <c r="AW94" s="24">
        <v>12359.63</v>
      </c>
      <c r="AX94" s="45">
        <v>0</v>
      </c>
      <c r="AY94" s="45">
        <v>2136.23</v>
      </c>
      <c r="AZ94" s="24">
        <v>0</v>
      </c>
      <c r="BA94" s="24">
        <v>2136.23</v>
      </c>
      <c r="BB94" s="24">
        <v>0</v>
      </c>
      <c r="BC94" s="24">
        <v>10478.27</v>
      </c>
      <c r="BD94" s="24">
        <v>0</v>
      </c>
      <c r="BE94" s="24">
        <v>13885.02</v>
      </c>
      <c r="BF94" s="24">
        <v>0</v>
      </c>
      <c r="BG94" s="24">
        <v>6663.63</v>
      </c>
      <c r="BH94" s="24">
        <v>0</v>
      </c>
      <c r="BI94" s="24">
        <v>2785.03</v>
      </c>
      <c r="BJ94" s="9">
        <f t="shared" si="29"/>
        <v>0</v>
      </c>
      <c r="BK94" s="9">
        <f t="shared" si="30"/>
        <v>73158.78000000001</v>
      </c>
      <c r="BL94" s="153">
        <f t="shared" si="31"/>
        <v>73158.78000000001</v>
      </c>
      <c r="BM94" s="154"/>
      <c r="BN94" s="154"/>
      <c r="BO94" s="154"/>
      <c r="BP94" s="154"/>
      <c r="BQ94" s="154"/>
      <c r="BR94" s="155">
        <f t="shared" si="44"/>
        <v>73158.78000000001</v>
      </c>
      <c r="BS94" s="198">
        <v>2284.9</v>
      </c>
      <c r="BT94" s="199"/>
      <c r="BU94" s="20">
        <f t="shared" si="42"/>
        <v>-86925.27000000002</v>
      </c>
      <c r="BV94" s="231">
        <v>101542.72</v>
      </c>
      <c r="BW94" s="229"/>
      <c r="BX94" s="230"/>
    </row>
    <row r="95" spans="1:76" ht="15.75">
      <c r="A95" s="1">
        <v>88</v>
      </c>
      <c r="B95" s="1" t="s">
        <v>84</v>
      </c>
      <c r="C95" s="1">
        <v>475.4</v>
      </c>
      <c r="D95" s="1">
        <v>0</v>
      </c>
      <c r="E95" s="1">
        <f t="shared" si="45"/>
        <v>475.4</v>
      </c>
      <c r="F95" s="2">
        <v>13.78</v>
      </c>
      <c r="G95" s="2">
        <f t="shared" si="24"/>
        <v>6551.012</v>
      </c>
      <c r="H95" s="2">
        <f t="shared" si="25"/>
        <v>39306.072</v>
      </c>
      <c r="I95" s="2">
        <f t="shared" si="32"/>
        <v>13.78</v>
      </c>
      <c r="J95" s="2">
        <f t="shared" si="33"/>
        <v>6551.012</v>
      </c>
      <c r="K95" s="2">
        <f t="shared" si="26"/>
        <v>39306.072</v>
      </c>
      <c r="L95" s="97">
        <f t="shared" si="27"/>
        <v>78612.144</v>
      </c>
      <c r="M95" s="109">
        <v>3.92</v>
      </c>
      <c r="N95" s="89">
        <f t="shared" si="34"/>
        <v>22362.816</v>
      </c>
      <c r="O95" s="64">
        <v>1.46</v>
      </c>
      <c r="P95" s="90">
        <f t="shared" si="35"/>
        <v>8329.008</v>
      </c>
      <c r="Q95" s="64"/>
      <c r="R95" s="90">
        <f t="shared" si="36"/>
        <v>0</v>
      </c>
      <c r="S95" s="64"/>
      <c r="T95" s="91">
        <f t="shared" si="37"/>
        <v>0</v>
      </c>
      <c r="U95" s="64">
        <v>3.15</v>
      </c>
      <c r="V95" s="90">
        <f t="shared" si="38"/>
        <v>17970.12</v>
      </c>
      <c r="W95" s="96"/>
      <c r="X95" s="91">
        <f t="shared" si="39"/>
        <v>0</v>
      </c>
      <c r="Y95" s="110">
        <f t="shared" si="43"/>
        <v>48661.944</v>
      </c>
      <c r="Z95" s="32">
        <v>-271548.37</v>
      </c>
      <c r="AA95" s="12">
        <f t="shared" si="40"/>
        <v>-3.454280168214214</v>
      </c>
      <c r="AB95" s="25">
        <f t="shared" si="41"/>
        <v>-192936.226</v>
      </c>
      <c r="AC95" s="44"/>
      <c r="AD95" s="8">
        <f t="shared" si="28"/>
        <v>-192936.226</v>
      </c>
      <c r="AE95" s="167">
        <v>15517.056</v>
      </c>
      <c r="AF95" s="168">
        <v>0</v>
      </c>
      <c r="AG95" s="168">
        <v>1293.088</v>
      </c>
      <c r="AH95" s="168">
        <v>0</v>
      </c>
      <c r="AI95" s="168">
        <v>15517.056</v>
      </c>
      <c r="AJ95" s="59" t="s">
        <v>296</v>
      </c>
      <c r="AK95" s="26" t="s">
        <v>352</v>
      </c>
      <c r="AL95" s="45">
        <v>0</v>
      </c>
      <c r="AM95" s="45">
        <v>1297.84</v>
      </c>
      <c r="AN95" s="2">
        <v>0</v>
      </c>
      <c r="AO95" s="2">
        <v>2631.03</v>
      </c>
      <c r="AP95" s="1">
        <v>0</v>
      </c>
      <c r="AQ95" s="1">
        <v>34003.43</v>
      </c>
      <c r="AR95" s="24">
        <v>0</v>
      </c>
      <c r="AS95" s="24">
        <v>12127.95</v>
      </c>
      <c r="AT95" s="1">
        <v>0</v>
      </c>
      <c r="AU95" s="1">
        <v>3174.66</v>
      </c>
      <c r="AV95" s="24">
        <v>0</v>
      </c>
      <c r="AW95" s="24">
        <v>3409.26</v>
      </c>
      <c r="AX95" s="45">
        <v>0</v>
      </c>
      <c r="AY95" s="45">
        <v>1297.84</v>
      </c>
      <c r="AZ95" s="24">
        <v>0</v>
      </c>
      <c r="BA95" s="24">
        <v>1297.84</v>
      </c>
      <c r="BB95" s="24">
        <v>0</v>
      </c>
      <c r="BC95" s="24">
        <v>1946.64</v>
      </c>
      <c r="BD95" s="24">
        <v>0</v>
      </c>
      <c r="BE95" s="24">
        <v>4317.24</v>
      </c>
      <c r="BF95" s="24">
        <v>0</v>
      </c>
      <c r="BG95" s="24">
        <v>7484.84</v>
      </c>
      <c r="BH95" s="24">
        <v>0</v>
      </c>
      <c r="BI95" s="24">
        <v>1297.84</v>
      </c>
      <c r="BJ95" s="9">
        <f t="shared" si="29"/>
        <v>0</v>
      </c>
      <c r="BK95" s="9">
        <f t="shared" si="30"/>
        <v>74286.40999999999</v>
      </c>
      <c r="BL95" s="153">
        <f t="shared" si="31"/>
        <v>74286.40999999999</v>
      </c>
      <c r="BM95" s="154"/>
      <c r="BN95" s="154">
        <f>206+206443.01</f>
        <v>206649.01</v>
      </c>
      <c r="BO95" s="154"/>
      <c r="BP95" s="154"/>
      <c r="BQ95" s="154"/>
      <c r="BR95" s="155">
        <f t="shared" si="44"/>
        <v>280935.42</v>
      </c>
      <c r="BS95" s="198">
        <v>1388.17</v>
      </c>
      <c r="BT95" s="199">
        <v>17964</v>
      </c>
      <c r="BU95" s="20">
        <f t="shared" si="42"/>
        <v>-472483.47599999997</v>
      </c>
      <c r="BV95" s="231">
        <v>334175.47</v>
      </c>
      <c r="BW95" s="229"/>
      <c r="BX95" s="230"/>
    </row>
    <row r="96" spans="1:76" ht="15.75" customHeight="1">
      <c r="A96" s="1">
        <v>89</v>
      </c>
      <c r="B96" s="1" t="s">
        <v>85</v>
      </c>
      <c r="C96" s="1">
        <v>455.1</v>
      </c>
      <c r="D96" s="1">
        <v>0</v>
      </c>
      <c r="E96" s="1">
        <f t="shared" si="45"/>
        <v>455.1</v>
      </c>
      <c r="F96" s="2">
        <v>9.71</v>
      </c>
      <c r="G96" s="2">
        <f t="shared" si="24"/>
        <v>4419.021000000001</v>
      </c>
      <c r="H96" s="2">
        <f t="shared" si="25"/>
        <v>26514.126000000004</v>
      </c>
      <c r="I96" s="2">
        <f t="shared" si="32"/>
        <v>9.71</v>
      </c>
      <c r="J96" s="2">
        <f t="shared" si="33"/>
        <v>4419.021000000001</v>
      </c>
      <c r="K96" s="2">
        <f t="shared" si="26"/>
        <v>26514.126000000004</v>
      </c>
      <c r="L96" s="97">
        <f t="shared" si="27"/>
        <v>53028.25200000001</v>
      </c>
      <c r="M96" s="109">
        <v>3.92</v>
      </c>
      <c r="N96" s="89">
        <f t="shared" si="34"/>
        <v>21407.904</v>
      </c>
      <c r="O96" s="64">
        <v>1.46</v>
      </c>
      <c r="P96" s="90">
        <f t="shared" si="35"/>
        <v>7973.352000000001</v>
      </c>
      <c r="Q96" s="64"/>
      <c r="R96" s="90">
        <f t="shared" si="36"/>
        <v>0</v>
      </c>
      <c r="S96" s="64"/>
      <c r="T96" s="91">
        <f t="shared" si="37"/>
        <v>0</v>
      </c>
      <c r="U96" s="64">
        <v>0</v>
      </c>
      <c r="V96" s="90">
        <f t="shared" si="38"/>
        <v>0</v>
      </c>
      <c r="W96" s="96"/>
      <c r="X96" s="91">
        <f t="shared" si="39"/>
        <v>0</v>
      </c>
      <c r="Y96" s="110">
        <f t="shared" si="43"/>
        <v>29381.256</v>
      </c>
      <c r="Z96" s="32"/>
      <c r="AA96" s="12">
        <f t="shared" si="40"/>
        <v>0</v>
      </c>
      <c r="AB96" s="25">
        <f t="shared" si="41"/>
        <v>53028.25200000001</v>
      </c>
      <c r="AC96" s="44"/>
      <c r="AD96" s="8">
        <f t="shared" si="28"/>
        <v>53028.25200000001</v>
      </c>
      <c r="AE96" s="167">
        <v>14854.464</v>
      </c>
      <c r="AF96" s="168">
        <v>0</v>
      </c>
      <c r="AG96" s="168">
        <v>4419.021000000001</v>
      </c>
      <c r="AH96" s="168">
        <v>0</v>
      </c>
      <c r="AI96" s="168">
        <v>53028.25200000001</v>
      </c>
      <c r="AJ96" s="58" t="s">
        <v>296</v>
      </c>
      <c r="AK96" s="59"/>
      <c r="AL96" s="45">
        <v>0</v>
      </c>
      <c r="AM96" s="45">
        <v>1242.42</v>
      </c>
      <c r="AN96" s="2">
        <v>0</v>
      </c>
      <c r="AO96" s="2">
        <v>2575.61</v>
      </c>
      <c r="AP96" s="1">
        <v>0</v>
      </c>
      <c r="AQ96" s="1">
        <v>2278.22</v>
      </c>
      <c r="AR96" s="24">
        <v>0</v>
      </c>
      <c r="AS96" s="24">
        <v>3274.11</v>
      </c>
      <c r="AT96" s="1">
        <v>0</v>
      </c>
      <c r="AU96" s="1">
        <v>1242.42</v>
      </c>
      <c r="AV96" s="24">
        <v>0</v>
      </c>
      <c r="AW96" s="24">
        <v>1242.42</v>
      </c>
      <c r="AX96" s="45">
        <v>0</v>
      </c>
      <c r="AY96" s="45">
        <v>1242.42</v>
      </c>
      <c r="AZ96" s="24">
        <v>0</v>
      </c>
      <c r="BA96" s="24">
        <v>1242.42</v>
      </c>
      <c r="BB96" s="24">
        <v>0</v>
      </c>
      <c r="BC96" s="24">
        <v>2401.88</v>
      </c>
      <c r="BD96" s="24">
        <v>0</v>
      </c>
      <c r="BE96" s="24">
        <v>4261.82</v>
      </c>
      <c r="BF96" s="24">
        <v>0</v>
      </c>
      <c r="BG96" s="24">
        <v>23971.27</v>
      </c>
      <c r="BH96" s="24">
        <v>0</v>
      </c>
      <c r="BI96" s="24">
        <v>1242.42</v>
      </c>
      <c r="BJ96" s="9">
        <f t="shared" si="29"/>
        <v>0</v>
      </c>
      <c r="BK96" s="9">
        <f t="shared" si="30"/>
        <v>46217.43</v>
      </c>
      <c r="BL96" s="153">
        <f t="shared" si="31"/>
        <v>46217.43</v>
      </c>
      <c r="BM96" s="154"/>
      <c r="BN96" s="154"/>
      <c r="BO96" s="154"/>
      <c r="BP96" s="154"/>
      <c r="BQ96" s="154"/>
      <c r="BR96" s="155">
        <f t="shared" si="44"/>
        <v>46217.43</v>
      </c>
      <c r="BS96" s="198">
        <v>1328.89</v>
      </c>
      <c r="BT96" s="199"/>
      <c r="BU96" s="20">
        <f t="shared" si="42"/>
        <v>8139.712000000008</v>
      </c>
      <c r="BV96" s="231">
        <v>9848.61</v>
      </c>
      <c r="BW96" s="229"/>
      <c r="BX96" s="230"/>
    </row>
    <row r="97" spans="1:76" ht="15.75" customHeight="1">
      <c r="A97" s="1">
        <v>90</v>
      </c>
      <c r="B97" s="1" t="s">
        <v>86</v>
      </c>
      <c r="C97" s="1">
        <v>475.1</v>
      </c>
      <c r="D97" s="1">
        <v>0</v>
      </c>
      <c r="E97" s="1">
        <f t="shared" si="45"/>
        <v>475.1</v>
      </c>
      <c r="F97" s="2">
        <v>13.78</v>
      </c>
      <c r="G97" s="2">
        <f t="shared" si="24"/>
        <v>6546.878</v>
      </c>
      <c r="H97" s="2">
        <f t="shared" si="25"/>
        <v>39281.268</v>
      </c>
      <c r="I97" s="2">
        <f t="shared" si="32"/>
        <v>13.78</v>
      </c>
      <c r="J97" s="2">
        <f t="shared" si="33"/>
        <v>6546.878</v>
      </c>
      <c r="K97" s="2">
        <f t="shared" si="26"/>
        <v>39281.268</v>
      </c>
      <c r="L97" s="97">
        <f t="shared" si="27"/>
        <v>78562.536</v>
      </c>
      <c r="M97" s="109">
        <v>3.92</v>
      </c>
      <c r="N97" s="89">
        <f t="shared" si="34"/>
        <v>22348.704</v>
      </c>
      <c r="O97" s="64">
        <v>1.46</v>
      </c>
      <c r="P97" s="90">
        <f t="shared" si="35"/>
        <v>8323.752</v>
      </c>
      <c r="Q97" s="64"/>
      <c r="R97" s="90">
        <f t="shared" si="36"/>
        <v>0</v>
      </c>
      <c r="S97" s="64"/>
      <c r="T97" s="91">
        <f t="shared" si="37"/>
        <v>0</v>
      </c>
      <c r="U97" s="64">
        <v>0</v>
      </c>
      <c r="V97" s="90">
        <f t="shared" si="38"/>
        <v>0</v>
      </c>
      <c r="W97" s="96"/>
      <c r="X97" s="91">
        <f t="shared" si="39"/>
        <v>0</v>
      </c>
      <c r="Y97" s="110">
        <f t="shared" si="43"/>
        <v>30672.456000000002</v>
      </c>
      <c r="Z97" s="32"/>
      <c r="AA97" s="12">
        <f t="shared" si="40"/>
        <v>0</v>
      </c>
      <c r="AB97" s="25">
        <f t="shared" si="41"/>
        <v>78562.536</v>
      </c>
      <c r="AC97" s="44"/>
      <c r="AD97" s="8">
        <f t="shared" si="28"/>
        <v>78562.536</v>
      </c>
      <c r="AE97" s="167">
        <v>15507.264000000003</v>
      </c>
      <c r="AF97" s="168">
        <v>0</v>
      </c>
      <c r="AG97" s="168">
        <v>6546.878</v>
      </c>
      <c r="AH97" s="168">
        <v>0</v>
      </c>
      <c r="AI97" s="168">
        <v>78562.536</v>
      </c>
      <c r="AJ97" s="58" t="s">
        <v>296</v>
      </c>
      <c r="AK97" s="26"/>
      <c r="AL97" s="45">
        <v>0</v>
      </c>
      <c r="AM97" s="45">
        <v>6386.84</v>
      </c>
      <c r="AN97" s="2">
        <v>0</v>
      </c>
      <c r="AO97" s="2">
        <v>38885.39</v>
      </c>
      <c r="AP97" s="1">
        <v>0</v>
      </c>
      <c r="AQ97" s="1">
        <v>30160.24</v>
      </c>
      <c r="AR97" s="24">
        <v>0</v>
      </c>
      <c r="AS97" s="24">
        <v>9016.27</v>
      </c>
      <c r="AT97" s="1">
        <v>0</v>
      </c>
      <c r="AU97" s="1">
        <v>5845.43</v>
      </c>
      <c r="AV97" s="24">
        <v>0</v>
      </c>
      <c r="AW97" s="24">
        <v>5210.03</v>
      </c>
      <c r="AX97" s="45">
        <v>0</v>
      </c>
      <c r="AY97" s="45">
        <v>4400.61</v>
      </c>
      <c r="AZ97" s="24">
        <v>0</v>
      </c>
      <c r="BA97" s="24">
        <v>2888.61</v>
      </c>
      <c r="BB97" s="24">
        <v>0</v>
      </c>
      <c r="BC97" s="24">
        <v>2888.61</v>
      </c>
      <c r="BD97" s="24">
        <v>0</v>
      </c>
      <c r="BE97" s="24">
        <v>5171.6</v>
      </c>
      <c r="BF97" s="24">
        <v>0</v>
      </c>
      <c r="BG97" s="24">
        <v>8555.2</v>
      </c>
      <c r="BH97" s="24">
        <v>0</v>
      </c>
      <c r="BI97" s="24">
        <v>2152.2</v>
      </c>
      <c r="BJ97" s="9">
        <f t="shared" si="29"/>
        <v>0</v>
      </c>
      <c r="BK97" s="9">
        <f t="shared" si="30"/>
        <v>121561.03000000001</v>
      </c>
      <c r="BL97" s="153">
        <f t="shared" si="31"/>
        <v>121561.03000000001</v>
      </c>
      <c r="BM97" s="154"/>
      <c r="BN97" s="154"/>
      <c r="BO97" s="154"/>
      <c r="BP97" s="154">
        <v>118.02</v>
      </c>
      <c r="BQ97" s="154"/>
      <c r="BR97" s="155">
        <f t="shared" si="44"/>
        <v>121679.05000000002</v>
      </c>
      <c r="BS97" s="198">
        <v>1398.1</v>
      </c>
      <c r="BT97" s="199"/>
      <c r="BU97" s="20">
        <f t="shared" si="42"/>
        <v>-41718.414000000026</v>
      </c>
      <c r="BV97" s="231">
        <v>106535.1</v>
      </c>
      <c r="BW97" s="229"/>
      <c r="BX97" s="230"/>
    </row>
    <row r="98" spans="1:76" ht="15.75" customHeight="1">
      <c r="A98" s="1">
        <v>91</v>
      </c>
      <c r="B98" s="1" t="s">
        <v>87</v>
      </c>
      <c r="C98" s="1">
        <v>784.3</v>
      </c>
      <c r="D98" s="1">
        <v>0</v>
      </c>
      <c r="E98" s="1">
        <f t="shared" si="45"/>
        <v>784.3</v>
      </c>
      <c r="F98" s="2">
        <v>13.85</v>
      </c>
      <c r="G98" s="2">
        <f t="shared" si="24"/>
        <v>10862.554999999998</v>
      </c>
      <c r="H98" s="2">
        <f t="shared" si="25"/>
        <v>65175.32999999999</v>
      </c>
      <c r="I98" s="2">
        <f t="shared" si="32"/>
        <v>13.85</v>
      </c>
      <c r="J98" s="2">
        <f t="shared" si="33"/>
        <v>10862.554999999998</v>
      </c>
      <c r="K98" s="2">
        <f t="shared" si="26"/>
        <v>65175.32999999999</v>
      </c>
      <c r="L98" s="97">
        <f t="shared" si="27"/>
        <v>130350.65999999997</v>
      </c>
      <c r="M98" s="109">
        <v>3.92</v>
      </c>
      <c r="N98" s="89">
        <f t="shared" si="34"/>
        <v>36893.471999999994</v>
      </c>
      <c r="O98" s="64">
        <v>1.46</v>
      </c>
      <c r="P98" s="90">
        <f t="shared" si="35"/>
        <v>13740.936</v>
      </c>
      <c r="Q98" s="64"/>
      <c r="R98" s="90">
        <f t="shared" si="36"/>
        <v>0</v>
      </c>
      <c r="S98" s="64"/>
      <c r="T98" s="91">
        <f t="shared" si="37"/>
        <v>0</v>
      </c>
      <c r="U98" s="64">
        <v>0</v>
      </c>
      <c r="V98" s="90">
        <f t="shared" si="38"/>
        <v>0</v>
      </c>
      <c r="W98" s="96"/>
      <c r="X98" s="91">
        <f t="shared" si="39"/>
        <v>0</v>
      </c>
      <c r="Y98" s="110">
        <f t="shared" si="43"/>
        <v>50634.407999999996</v>
      </c>
      <c r="Z98" s="32"/>
      <c r="AA98" s="12">
        <f t="shared" si="40"/>
        <v>0</v>
      </c>
      <c r="AB98" s="25">
        <f t="shared" si="41"/>
        <v>130350.65999999997</v>
      </c>
      <c r="AC98" s="44"/>
      <c r="AD98" s="8">
        <f t="shared" si="28"/>
        <v>130350.65999999997</v>
      </c>
      <c r="AE98" s="167">
        <v>50634.407999999996</v>
      </c>
      <c r="AF98" s="168">
        <v>0</v>
      </c>
      <c r="AG98" s="168">
        <v>10862.554999999998</v>
      </c>
      <c r="AH98" s="168">
        <v>0</v>
      </c>
      <c r="AI98" s="168">
        <v>130350.65999999997</v>
      </c>
      <c r="AJ98" s="26"/>
      <c r="AK98" s="26"/>
      <c r="AL98" s="45">
        <v>0</v>
      </c>
      <c r="AM98" s="45">
        <v>7073.7</v>
      </c>
      <c r="AN98" s="2">
        <v>0</v>
      </c>
      <c r="AO98" s="2">
        <v>33211.54</v>
      </c>
      <c r="AP98" s="1">
        <v>0</v>
      </c>
      <c r="AQ98" s="1">
        <v>36777.94</v>
      </c>
      <c r="AR98" s="24">
        <v>0</v>
      </c>
      <c r="AS98" s="24">
        <v>5584.57</v>
      </c>
      <c r="AT98" s="1">
        <v>0</v>
      </c>
      <c r="AU98" s="1">
        <v>7725.36</v>
      </c>
      <c r="AV98" s="24">
        <v>0</v>
      </c>
      <c r="AW98" s="24">
        <v>6879.96</v>
      </c>
      <c r="AX98" s="45">
        <v>0</v>
      </c>
      <c r="AY98" s="45">
        <v>5200.54</v>
      </c>
      <c r="AZ98" s="24">
        <v>0</v>
      </c>
      <c r="BA98" s="24">
        <v>32852.54</v>
      </c>
      <c r="BB98" s="24">
        <v>0</v>
      </c>
      <c r="BC98" s="24">
        <v>7725.36</v>
      </c>
      <c r="BD98" s="24">
        <v>0</v>
      </c>
      <c r="BE98" s="24">
        <v>14079.89</v>
      </c>
      <c r="BF98" s="24">
        <v>0</v>
      </c>
      <c r="BG98" s="24">
        <v>10171.88</v>
      </c>
      <c r="BH98" s="24">
        <v>0</v>
      </c>
      <c r="BI98" s="24">
        <v>5316.12</v>
      </c>
      <c r="BJ98" s="9">
        <f t="shared" si="29"/>
        <v>0</v>
      </c>
      <c r="BK98" s="9">
        <f t="shared" si="30"/>
        <v>172599.39999999997</v>
      </c>
      <c r="BL98" s="153">
        <f t="shared" si="31"/>
        <v>172599.39999999997</v>
      </c>
      <c r="BM98" s="154"/>
      <c r="BN98" s="154"/>
      <c r="BO98" s="154"/>
      <c r="BP98" s="154"/>
      <c r="BQ98" s="154"/>
      <c r="BR98" s="155">
        <f t="shared" si="44"/>
        <v>172599.39999999997</v>
      </c>
      <c r="BS98" s="198">
        <v>2290.16</v>
      </c>
      <c r="BT98" s="199"/>
      <c r="BU98" s="20">
        <f t="shared" si="42"/>
        <v>-39958.57999999999</v>
      </c>
      <c r="BV98" s="231">
        <v>15265.36</v>
      </c>
      <c r="BW98" s="229"/>
      <c r="BX98" s="230"/>
    </row>
    <row r="99" spans="1:76" ht="15.75" customHeight="1">
      <c r="A99" s="1">
        <v>92</v>
      </c>
      <c r="B99" s="1" t="s">
        <v>297</v>
      </c>
      <c r="C99" s="1">
        <v>2152.5</v>
      </c>
      <c r="D99" s="1">
        <v>0</v>
      </c>
      <c r="E99" s="1">
        <f t="shared" si="45"/>
        <v>2152.5</v>
      </c>
      <c r="F99" s="2">
        <v>14.68</v>
      </c>
      <c r="G99" s="2">
        <f t="shared" si="24"/>
        <v>31598.7</v>
      </c>
      <c r="H99" s="2">
        <f t="shared" si="25"/>
        <v>189592.2</v>
      </c>
      <c r="I99" s="2">
        <f t="shared" si="32"/>
        <v>14.68</v>
      </c>
      <c r="J99" s="2">
        <f t="shared" si="33"/>
        <v>31598.7</v>
      </c>
      <c r="K99" s="2">
        <f t="shared" si="26"/>
        <v>189592.2</v>
      </c>
      <c r="L99" s="97">
        <f t="shared" si="27"/>
        <v>379184.4</v>
      </c>
      <c r="M99" s="109">
        <v>3.92</v>
      </c>
      <c r="N99" s="89">
        <f t="shared" si="34"/>
        <v>101253.59999999999</v>
      </c>
      <c r="O99" s="64">
        <v>1.46</v>
      </c>
      <c r="P99" s="90">
        <f t="shared" si="35"/>
        <v>37711.8</v>
      </c>
      <c r="Q99" s="64">
        <v>0.52</v>
      </c>
      <c r="R99" s="90">
        <f t="shared" si="36"/>
        <v>13431.599999999999</v>
      </c>
      <c r="S99" s="64">
        <v>0.89</v>
      </c>
      <c r="T99" s="91">
        <f t="shared" si="37"/>
        <v>22988.7</v>
      </c>
      <c r="U99" s="64">
        <v>0</v>
      </c>
      <c r="V99" s="90">
        <f t="shared" si="38"/>
        <v>0</v>
      </c>
      <c r="W99" s="96"/>
      <c r="X99" s="91">
        <f t="shared" si="39"/>
        <v>0</v>
      </c>
      <c r="Y99" s="110">
        <f t="shared" si="43"/>
        <v>175385.7</v>
      </c>
      <c r="Z99" s="32"/>
      <c r="AA99" s="12">
        <f t="shared" si="40"/>
        <v>0</v>
      </c>
      <c r="AB99" s="25">
        <f t="shared" si="41"/>
        <v>379184.4</v>
      </c>
      <c r="AC99" s="44"/>
      <c r="AD99" s="8">
        <f t="shared" si="28"/>
        <v>379184.4</v>
      </c>
      <c r="AE99" s="167">
        <v>138965.40000000002</v>
      </c>
      <c r="AF99" s="168">
        <v>0</v>
      </c>
      <c r="AG99" s="168">
        <v>31598.7</v>
      </c>
      <c r="AH99" s="168">
        <v>0</v>
      </c>
      <c r="AI99" s="168">
        <v>379184.4</v>
      </c>
      <c r="AJ99" s="59"/>
      <c r="AK99" s="59"/>
      <c r="AL99" s="45">
        <v>0</v>
      </c>
      <c r="AM99" s="45">
        <v>46113.83</v>
      </c>
      <c r="AN99" s="2">
        <v>0</v>
      </c>
      <c r="AO99" s="2">
        <v>10303.7</v>
      </c>
      <c r="AP99" s="1">
        <v>0</v>
      </c>
      <c r="AQ99" s="1">
        <v>41074.07</v>
      </c>
      <c r="AR99" s="24">
        <v>0</v>
      </c>
      <c r="AS99" s="24">
        <v>21013.25</v>
      </c>
      <c r="AT99" s="1">
        <v>0</v>
      </c>
      <c r="AU99" s="1">
        <v>22349.85</v>
      </c>
      <c r="AV99" s="24">
        <v>0</v>
      </c>
      <c r="AW99" s="24">
        <v>20528.12</v>
      </c>
      <c r="AX99" s="45">
        <v>0</v>
      </c>
      <c r="AY99" s="45">
        <v>22829.65</v>
      </c>
      <c r="AZ99" s="24">
        <v>0</v>
      </c>
      <c r="BA99" s="24">
        <v>26300.1</v>
      </c>
      <c r="BB99" s="24">
        <v>0</v>
      </c>
      <c r="BC99" s="24">
        <v>20952.83</v>
      </c>
      <c r="BD99" s="24">
        <v>0</v>
      </c>
      <c r="BE99" s="24">
        <v>12143.31</v>
      </c>
      <c r="BF99" s="24">
        <v>0</v>
      </c>
      <c r="BG99" s="24">
        <v>13704.25</v>
      </c>
      <c r="BH99" s="24">
        <v>0</v>
      </c>
      <c r="BI99" s="24">
        <v>15028.1</v>
      </c>
      <c r="BJ99" s="9">
        <f t="shared" si="29"/>
        <v>0</v>
      </c>
      <c r="BK99" s="9">
        <f t="shared" si="30"/>
        <v>272341.06</v>
      </c>
      <c r="BL99" s="153">
        <f t="shared" si="31"/>
        <v>272341.06</v>
      </c>
      <c r="BM99" s="154"/>
      <c r="BN99" s="154"/>
      <c r="BO99" s="154">
        <v>1674.62</v>
      </c>
      <c r="BP99" s="154">
        <v>7154.81</v>
      </c>
      <c r="BQ99" s="154"/>
      <c r="BR99" s="155">
        <f t="shared" si="44"/>
        <v>281170.49</v>
      </c>
      <c r="BS99" s="198">
        <v>6285.3</v>
      </c>
      <c r="BT99" s="199"/>
      <c r="BU99" s="20">
        <f t="shared" si="42"/>
        <v>104299.21000000004</v>
      </c>
      <c r="BV99" s="231">
        <v>605505.15</v>
      </c>
      <c r="BW99" s="229"/>
      <c r="BX99" s="230"/>
    </row>
    <row r="100" spans="1:76" ht="15.75" customHeight="1">
      <c r="A100" s="1">
        <v>93</v>
      </c>
      <c r="B100" s="1" t="s">
        <v>88</v>
      </c>
      <c r="C100" s="1">
        <v>622.5</v>
      </c>
      <c r="D100" s="1">
        <v>0</v>
      </c>
      <c r="E100" s="1">
        <f t="shared" si="45"/>
        <v>622.5</v>
      </c>
      <c r="F100" s="2">
        <v>13.65</v>
      </c>
      <c r="G100" s="2">
        <f t="shared" si="24"/>
        <v>8497.125</v>
      </c>
      <c r="H100" s="2">
        <f t="shared" si="25"/>
        <v>50982.75</v>
      </c>
      <c r="I100" s="2">
        <f t="shared" si="32"/>
        <v>13.65</v>
      </c>
      <c r="J100" s="2">
        <f t="shared" si="33"/>
        <v>8497.125</v>
      </c>
      <c r="K100" s="2">
        <f t="shared" si="26"/>
        <v>50982.75</v>
      </c>
      <c r="L100" s="97">
        <f t="shared" si="27"/>
        <v>101965.5</v>
      </c>
      <c r="M100" s="109">
        <v>3.92</v>
      </c>
      <c r="N100" s="89">
        <f t="shared" si="34"/>
        <v>29282.399999999998</v>
      </c>
      <c r="O100" s="64">
        <v>1.46</v>
      </c>
      <c r="P100" s="90">
        <f t="shared" si="35"/>
        <v>10906.2</v>
      </c>
      <c r="Q100" s="64">
        <v>0.52</v>
      </c>
      <c r="R100" s="90">
        <f t="shared" si="36"/>
        <v>3884.3999999999996</v>
      </c>
      <c r="S100" s="64">
        <v>0.89</v>
      </c>
      <c r="T100" s="91">
        <f t="shared" si="37"/>
        <v>6648.299999999999</v>
      </c>
      <c r="U100" s="64">
        <v>0</v>
      </c>
      <c r="V100" s="90">
        <f t="shared" si="38"/>
        <v>0</v>
      </c>
      <c r="W100" s="96"/>
      <c r="X100" s="91">
        <f t="shared" si="39"/>
        <v>0</v>
      </c>
      <c r="Y100" s="110">
        <f t="shared" si="43"/>
        <v>50721.3</v>
      </c>
      <c r="Z100" s="32"/>
      <c r="AA100" s="12">
        <f t="shared" si="40"/>
        <v>0</v>
      </c>
      <c r="AB100" s="25">
        <f t="shared" si="41"/>
        <v>101965.5</v>
      </c>
      <c r="AC100" s="44"/>
      <c r="AD100" s="8">
        <f t="shared" si="28"/>
        <v>101965.5</v>
      </c>
      <c r="AE100" s="167">
        <v>45708.600000000006</v>
      </c>
      <c r="AF100" s="168">
        <v>0</v>
      </c>
      <c r="AG100" s="168">
        <v>8497.125</v>
      </c>
      <c r="AH100" s="168">
        <v>0</v>
      </c>
      <c r="AI100" s="168">
        <v>101965.5</v>
      </c>
      <c r="AJ100" s="26"/>
      <c r="AK100" s="26"/>
      <c r="AL100" s="45">
        <v>0</v>
      </c>
      <c r="AM100" s="45">
        <v>3373.3</v>
      </c>
      <c r="AN100" s="2">
        <v>0</v>
      </c>
      <c r="AO100" s="2">
        <v>3373.3</v>
      </c>
      <c r="AP100" s="1">
        <v>0</v>
      </c>
      <c r="AQ100" s="1">
        <v>10266.8</v>
      </c>
      <c r="AR100" s="24">
        <v>0</v>
      </c>
      <c r="AS100" s="24">
        <v>8034.04</v>
      </c>
      <c r="AT100" s="1">
        <v>0</v>
      </c>
      <c r="AU100" s="1">
        <v>7211.8</v>
      </c>
      <c r="AV100" s="24">
        <v>0</v>
      </c>
      <c r="AW100" s="24">
        <v>4742.8</v>
      </c>
      <c r="AX100" s="45">
        <v>0</v>
      </c>
      <c r="AY100" s="45">
        <v>4742.8</v>
      </c>
      <c r="AZ100" s="24">
        <v>0</v>
      </c>
      <c r="BA100" s="24">
        <v>4742.8</v>
      </c>
      <c r="BB100" s="24">
        <v>0</v>
      </c>
      <c r="BC100" s="24">
        <v>9009.73</v>
      </c>
      <c r="BD100" s="24">
        <v>0</v>
      </c>
      <c r="BE100" s="24">
        <v>3373.3</v>
      </c>
      <c r="BF100" s="24">
        <v>0</v>
      </c>
      <c r="BG100" s="24">
        <v>4881.3</v>
      </c>
      <c r="BH100" s="24">
        <v>0</v>
      </c>
      <c r="BI100" s="24">
        <v>3373.3</v>
      </c>
      <c r="BJ100" s="9">
        <f t="shared" si="29"/>
        <v>0</v>
      </c>
      <c r="BK100" s="9">
        <f t="shared" si="30"/>
        <v>67125.27000000002</v>
      </c>
      <c r="BL100" s="153">
        <f t="shared" si="31"/>
        <v>67125.27000000002</v>
      </c>
      <c r="BM100" s="154"/>
      <c r="BN100" s="154"/>
      <c r="BO100" s="154">
        <v>484.3</v>
      </c>
      <c r="BP100" s="154"/>
      <c r="BQ100" s="154"/>
      <c r="BR100" s="155">
        <f t="shared" si="44"/>
        <v>67609.57000000002</v>
      </c>
      <c r="BS100" s="154">
        <f>1792.8+1817.7</f>
        <v>3610.5</v>
      </c>
      <c r="BT100" s="199"/>
      <c r="BU100" s="20">
        <f t="shared" si="42"/>
        <v>37966.42999999998</v>
      </c>
      <c r="BV100" s="231">
        <v>25166.39</v>
      </c>
      <c r="BW100" s="229"/>
      <c r="BX100" s="230"/>
    </row>
    <row r="101" spans="1:111" s="17" customFormat="1" ht="15.75">
      <c r="A101" s="1">
        <v>94</v>
      </c>
      <c r="B101" s="1" t="s">
        <v>89</v>
      </c>
      <c r="C101" s="1">
        <v>522.6</v>
      </c>
      <c r="D101" s="1">
        <v>0</v>
      </c>
      <c r="E101" s="1">
        <f t="shared" si="45"/>
        <v>522.6</v>
      </c>
      <c r="F101" s="2">
        <v>8.15</v>
      </c>
      <c r="G101" s="2">
        <f t="shared" si="24"/>
        <v>4259.1900000000005</v>
      </c>
      <c r="H101" s="2">
        <f t="shared" si="25"/>
        <v>25555.140000000003</v>
      </c>
      <c r="I101" s="2">
        <f t="shared" si="32"/>
        <v>8.15</v>
      </c>
      <c r="J101" s="2">
        <f t="shared" si="33"/>
        <v>4259.1900000000005</v>
      </c>
      <c r="K101" s="2">
        <f t="shared" si="26"/>
        <v>25555.140000000003</v>
      </c>
      <c r="L101" s="97">
        <f t="shared" si="27"/>
        <v>51110.280000000006</v>
      </c>
      <c r="M101" s="109">
        <v>3.92</v>
      </c>
      <c r="N101" s="89">
        <f t="shared" si="34"/>
        <v>24583.104</v>
      </c>
      <c r="O101" s="64"/>
      <c r="P101" s="90">
        <f t="shared" si="35"/>
        <v>0</v>
      </c>
      <c r="Q101" s="64"/>
      <c r="R101" s="90">
        <f t="shared" si="36"/>
        <v>0</v>
      </c>
      <c r="S101" s="64"/>
      <c r="T101" s="91">
        <f t="shared" si="37"/>
        <v>0</v>
      </c>
      <c r="U101" s="64">
        <v>0</v>
      </c>
      <c r="V101" s="90">
        <f t="shared" si="38"/>
        <v>0</v>
      </c>
      <c r="W101" s="96">
        <v>3.01</v>
      </c>
      <c r="X101" s="91">
        <f t="shared" si="39"/>
        <v>18876.312</v>
      </c>
      <c r="Y101" s="110">
        <f t="shared" si="43"/>
        <v>43459.416</v>
      </c>
      <c r="Z101" s="32">
        <v>-28818.97</v>
      </c>
      <c r="AA101" s="12">
        <f t="shared" si="40"/>
        <v>-0.5638585818743314</v>
      </c>
      <c r="AB101" s="25">
        <f t="shared" si="41"/>
        <v>22291.310000000005</v>
      </c>
      <c r="AC101" s="44"/>
      <c r="AD101" s="8">
        <f t="shared" si="28"/>
        <v>22291.310000000005</v>
      </c>
      <c r="AE101" s="167">
        <v>17057.664000000004</v>
      </c>
      <c r="AF101" s="168">
        <v>0</v>
      </c>
      <c r="AG101" s="168">
        <v>1857.6091666666678</v>
      </c>
      <c r="AH101" s="168">
        <v>0</v>
      </c>
      <c r="AI101" s="168">
        <v>22291.310000000012</v>
      </c>
      <c r="AJ101" s="59" t="s">
        <v>299</v>
      </c>
      <c r="AK101" s="58"/>
      <c r="AL101" s="45">
        <v>0</v>
      </c>
      <c r="AM101" s="45">
        <v>1426.7</v>
      </c>
      <c r="AN101" s="2">
        <v>0</v>
      </c>
      <c r="AO101" s="2">
        <v>1426.7</v>
      </c>
      <c r="AP101" s="1">
        <v>0</v>
      </c>
      <c r="AQ101" s="1">
        <v>7284.4</v>
      </c>
      <c r="AR101" s="24">
        <v>0</v>
      </c>
      <c r="AS101" s="24">
        <v>2125.2</v>
      </c>
      <c r="AT101" s="1">
        <v>0</v>
      </c>
      <c r="AU101" s="1">
        <v>1426.7</v>
      </c>
      <c r="AV101" s="24">
        <v>0</v>
      </c>
      <c r="AW101" s="24">
        <v>1426.7</v>
      </c>
      <c r="AX101" s="45">
        <v>0</v>
      </c>
      <c r="AY101" s="45">
        <v>1426.7</v>
      </c>
      <c r="AZ101" s="24">
        <v>0</v>
      </c>
      <c r="BA101" s="24">
        <v>1426.7</v>
      </c>
      <c r="BB101" s="24">
        <v>0</v>
      </c>
      <c r="BC101" s="24">
        <v>1426.7</v>
      </c>
      <c r="BD101" s="24">
        <v>0</v>
      </c>
      <c r="BE101" s="24">
        <v>1426.7</v>
      </c>
      <c r="BF101" s="24">
        <v>0</v>
      </c>
      <c r="BG101" s="24">
        <v>2252.7</v>
      </c>
      <c r="BH101" s="24">
        <v>0</v>
      </c>
      <c r="BI101" s="24">
        <v>1426.7</v>
      </c>
      <c r="BJ101" s="9">
        <f t="shared" si="29"/>
        <v>0</v>
      </c>
      <c r="BK101" s="9">
        <f t="shared" si="30"/>
        <v>24502.600000000006</v>
      </c>
      <c r="BL101" s="153">
        <f t="shared" si="31"/>
        <v>24502.600000000006</v>
      </c>
      <c r="BM101" s="154"/>
      <c r="BN101" s="154"/>
      <c r="BO101" s="154"/>
      <c r="BP101" s="154"/>
      <c r="BQ101" s="154"/>
      <c r="BR101" s="155">
        <f t="shared" si="44"/>
        <v>24502.600000000006</v>
      </c>
      <c r="BS101" s="198"/>
      <c r="BT101" s="199"/>
      <c r="BU101" s="20">
        <f t="shared" si="42"/>
        <v>-2211.290000000001</v>
      </c>
      <c r="BV101" s="231">
        <v>290621.99</v>
      </c>
      <c r="BW101" s="229"/>
      <c r="BX101" s="230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</row>
    <row r="102" spans="1:76" ht="15.75" customHeight="1">
      <c r="A102" s="1">
        <v>95</v>
      </c>
      <c r="B102" s="1" t="s">
        <v>90</v>
      </c>
      <c r="C102" s="1">
        <v>510.3</v>
      </c>
      <c r="D102" s="1">
        <v>0</v>
      </c>
      <c r="E102" s="1">
        <f t="shared" si="45"/>
        <v>510.3</v>
      </c>
      <c r="F102" s="2">
        <v>10.8</v>
      </c>
      <c r="G102" s="2">
        <f t="shared" si="24"/>
        <v>5511.240000000001</v>
      </c>
      <c r="H102" s="2">
        <f t="shared" si="25"/>
        <v>33067.44</v>
      </c>
      <c r="I102" s="2">
        <f t="shared" si="32"/>
        <v>10.8</v>
      </c>
      <c r="J102" s="2">
        <f t="shared" si="33"/>
        <v>5511.240000000001</v>
      </c>
      <c r="K102" s="2">
        <f t="shared" si="26"/>
        <v>33067.44</v>
      </c>
      <c r="L102" s="97">
        <f t="shared" si="27"/>
        <v>66134.88</v>
      </c>
      <c r="M102" s="109">
        <v>3.92</v>
      </c>
      <c r="N102" s="89">
        <f t="shared" si="34"/>
        <v>24004.512</v>
      </c>
      <c r="O102" s="64"/>
      <c r="P102" s="90">
        <f t="shared" si="35"/>
        <v>0</v>
      </c>
      <c r="Q102" s="64"/>
      <c r="R102" s="90">
        <f t="shared" si="36"/>
        <v>0</v>
      </c>
      <c r="S102" s="64"/>
      <c r="T102" s="91">
        <f t="shared" si="37"/>
        <v>0</v>
      </c>
      <c r="U102" s="64">
        <v>0</v>
      </c>
      <c r="V102" s="90">
        <f t="shared" si="38"/>
        <v>0</v>
      </c>
      <c r="W102" s="96">
        <v>3.01</v>
      </c>
      <c r="X102" s="91">
        <f t="shared" si="39"/>
        <v>18432.036</v>
      </c>
      <c r="Y102" s="110">
        <f t="shared" si="43"/>
        <v>42436.547999999995</v>
      </c>
      <c r="Z102" s="32">
        <v>-78932.36</v>
      </c>
      <c r="AA102" s="12">
        <f t="shared" si="40"/>
        <v>-1.1935057567202056</v>
      </c>
      <c r="AB102" s="25">
        <f t="shared" si="41"/>
        <v>-12797.479999999996</v>
      </c>
      <c r="AC102" s="44"/>
      <c r="AD102" s="8">
        <f t="shared" si="28"/>
        <v>-12797.479999999996</v>
      </c>
      <c r="AE102" s="167">
        <v>16656.192000000003</v>
      </c>
      <c r="AF102" s="168">
        <v>0</v>
      </c>
      <c r="AG102" s="168">
        <v>1388.0160000000003</v>
      </c>
      <c r="AH102" s="168">
        <v>0</v>
      </c>
      <c r="AI102" s="168">
        <v>16656.192000000003</v>
      </c>
      <c r="AJ102" s="59" t="s">
        <v>296</v>
      </c>
      <c r="AK102" s="26" t="s">
        <v>352</v>
      </c>
      <c r="AL102" s="45">
        <v>0</v>
      </c>
      <c r="AM102" s="45">
        <v>1393.12</v>
      </c>
      <c r="AN102" s="2">
        <v>0</v>
      </c>
      <c r="AO102" s="2">
        <v>1393.12</v>
      </c>
      <c r="AP102" s="1">
        <v>0</v>
      </c>
      <c r="AQ102" s="1">
        <v>1393.12</v>
      </c>
      <c r="AR102" s="24">
        <v>0</v>
      </c>
      <c r="AS102" s="24">
        <v>2091.62</v>
      </c>
      <c r="AT102" s="1">
        <v>0</v>
      </c>
      <c r="AU102" s="1">
        <v>1393.12</v>
      </c>
      <c r="AV102" s="24">
        <v>0</v>
      </c>
      <c r="AW102" s="24">
        <v>1393.12</v>
      </c>
      <c r="AX102" s="45">
        <v>0</v>
      </c>
      <c r="AY102" s="45">
        <v>1393.12</v>
      </c>
      <c r="AZ102" s="24">
        <v>0</v>
      </c>
      <c r="BA102" s="24">
        <v>1393.12</v>
      </c>
      <c r="BB102" s="24">
        <v>0</v>
      </c>
      <c r="BC102" s="24">
        <v>1393.12</v>
      </c>
      <c r="BD102" s="24">
        <v>0</v>
      </c>
      <c r="BE102" s="24">
        <v>1393.12</v>
      </c>
      <c r="BF102" s="24">
        <v>0</v>
      </c>
      <c r="BG102" s="24">
        <v>2219.12</v>
      </c>
      <c r="BH102" s="24">
        <v>0</v>
      </c>
      <c r="BI102" s="24">
        <v>1393.12</v>
      </c>
      <c r="BJ102" s="9">
        <f t="shared" si="29"/>
        <v>0</v>
      </c>
      <c r="BK102" s="9">
        <f t="shared" si="30"/>
        <v>18241.939999999995</v>
      </c>
      <c r="BL102" s="153">
        <f t="shared" si="31"/>
        <v>18241.939999999995</v>
      </c>
      <c r="BM102" s="154"/>
      <c r="BN102" s="154"/>
      <c r="BO102" s="154"/>
      <c r="BP102" s="154"/>
      <c r="BQ102" s="154"/>
      <c r="BR102" s="155">
        <f t="shared" si="44"/>
        <v>18241.939999999995</v>
      </c>
      <c r="BS102" s="198"/>
      <c r="BT102" s="199"/>
      <c r="BU102" s="20">
        <f t="shared" si="42"/>
        <v>-31039.41999999999</v>
      </c>
      <c r="BV102" s="231">
        <v>372450.3</v>
      </c>
      <c r="BW102" s="229"/>
      <c r="BX102" s="230"/>
    </row>
    <row r="103" spans="1:76" ht="15.75" customHeight="1">
      <c r="A103" s="1">
        <v>96</v>
      </c>
      <c r="B103" s="1" t="s">
        <v>91</v>
      </c>
      <c r="C103" s="1">
        <v>391.58</v>
      </c>
      <c r="D103" s="1">
        <v>0</v>
      </c>
      <c r="E103" s="1">
        <f t="shared" si="45"/>
        <v>391.58</v>
      </c>
      <c r="F103" s="2">
        <v>11.81</v>
      </c>
      <c r="G103" s="2">
        <f t="shared" si="24"/>
        <v>4624.5598</v>
      </c>
      <c r="H103" s="2">
        <f t="shared" si="25"/>
        <v>27747.3588</v>
      </c>
      <c r="I103" s="2">
        <f t="shared" si="32"/>
        <v>11.81</v>
      </c>
      <c r="J103" s="2">
        <f t="shared" si="33"/>
        <v>4624.5598</v>
      </c>
      <c r="K103" s="2">
        <f t="shared" si="26"/>
        <v>27747.3588</v>
      </c>
      <c r="L103" s="97">
        <f t="shared" si="27"/>
        <v>55494.7176</v>
      </c>
      <c r="M103" s="109">
        <v>3.92</v>
      </c>
      <c r="N103" s="89">
        <f t="shared" si="34"/>
        <v>18419.9232</v>
      </c>
      <c r="O103" s="64">
        <v>1.46</v>
      </c>
      <c r="P103" s="90">
        <f t="shared" si="35"/>
        <v>6860.481599999999</v>
      </c>
      <c r="Q103" s="64">
        <v>0.52</v>
      </c>
      <c r="R103" s="90">
        <f t="shared" si="36"/>
        <v>2443.4592000000002</v>
      </c>
      <c r="S103" s="64">
        <v>0.89</v>
      </c>
      <c r="T103" s="91">
        <f t="shared" si="37"/>
        <v>4182.0743999999995</v>
      </c>
      <c r="U103" s="64">
        <v>0.88</v>
      </c>
      <c r="V103" s="90">
        <f t="shared" si="38"/>
        <v>4135.0848</v>
      </c>
      <c r="W103" s="96"/>
      <c r="X103" s="91">
        <f t="shared" si="39"/>
        <v>0</v>
      </c>
      <c r="Y103" s="110">
        <f t="shared" si="43"/>
        <v>36041.023199999996</v>
      </c>
      <c r="Z103" s="32"/>
      <c r="AA103" s="12">
        <f t="shared" si="40"/>
        <v>0</v>
      </c>
      <c r="AB103" s="25">
        <f t="shared" si="41"/>
        <v>55494.7176</v>
      </c>
      <c r="AC103" s="44"/>
      <c r="AD103" s="8">
        <f t="shared" si="28"/>
        <v>55494.7176</v>
      </c>
      <c r="AE103" s="167">
        <v>28040.404800000004</v>
      </c>
      <c r="AF103" s="168">
        <v>0</v>
      </c>
      <c r="AG103" s="168">
        <v>4624.5598</v>
      </c>
      <c r="AH103" s="168">
        <v>0</v>
      </c>
      <c r="AI103" s="168">
        <v>55494.7176</v>
      </c>
      <c r="AJ103" s="59"/>
      <c r="AK103" s="59"/>
      <c r="AL103" s="45">
        <v>0</v>
      </c>
      <c r="AM103" s="45">
        <v>1299.01</v>
      </c>
      <c r="AN103" s="2">
        <v>0</v>
      </c>
      <c r="AO103" s="2">
        <v>1299.01</v>
      </c>
      <c r="AP103" s="1">
        <v>0</v>
      </c>
      <c r="AQ103" s="1">
        <v>2334.81</v>
      </c>
      <c r="AR103" s="24">
        <v>0</v>
      </c>
      <c r="AS103" s="24">
        <v>1997.51</v>
      </c>
      <c r="AT103" s="1">
        <v>0</v>
      </c>
      <c r="AU103" s="1">
        <v>3175.83</v>
      </c>
      <c r="AV103" s="24">
        <v>0</v>
      </c>
      <c r="AW103" s="24">
        <v>1299.01</v>
      </c>
      <c r="AX103" s="45">
        <v>0</v>
      </c>
      <c r="AY103" s="45">
        <v>3459.01</v>
      </c>
      <c r="AZ103" s="24">
        <v>0</v>
      </c>
      <c r="BA103" s="24">
        <v>1299.01</v>
      </c>
      <c r="BB103" s="24">
        <v>0</v>
      </c>
      <c r="BC103" s="24">
        <v>6361.85</v>
      </c>
      <c r="BD103" s="24">
        <v>0</v>
      </c>
      <c r="BE103" s="24">
        <v>1299.01</v>
      </c>
      <c r="BF103" s="24">
        <v>0</v>
      </c>
      <c r="BG103" s="24">
        <v>2807.01</v>
      </c>
      <c r="BH103" s="24">
        <v>0</v>
      </c>
      <c r="BI103" s="24">
        <v>1299.01</v>
      </c>
      <c r="BJ103" s="9">
        <f t="shared" si="29"/>
        <v>0</v>
      </c>
      <c r="BK103" s="9">
        <f t="shared" si="30"/>
        <v>27930.079999999998</v>
      </c>
      <c r="BL103" s="153">
        <f t="shared" si="31"/>
        <v>27930.079999999998</v>
      </c>
      <c r="BM103" s="154"/>
      <c r="BN103" s="154"/>
      <c r="BO103" s="154">
        <v>304.66</v>
      </c>
      <c r="BP103" s="154"/>
      <c r="BQ103" s="154"/>
      <c r="BR103" s="155">
        <f t="shared" si="44"/>
        <v>28234.739999999998</v>
      </c>
      <c r="BS103" s="154">
        <f>1127.75+1143.47</f>
        <v>2271.2200000000003</v>
      </c>
      <c r="BT103" s="199">
        <v>4128</v>
      </c>
      <c r="BU103" s="20">
        <f t="shared" si="42"/>
        <v>29531.197600000007</v>
      </c>
      <c r="BV103" s="231">
        <v>197347.5</v>
      </c>
      <c r="BW103" s="229"/>
      <c r="BX103" s="230"/>
    </row>
    <row r="104" spans="1:76" ht="15.75">
      <c r="A104" s="1">
        <v>97</v>
      </c>
      <c r="B104" s="1" t="s">
        <v>92</v>
      </c>
      <c r="C104" s="1">
        <v>374</v>
      </c>
      <c r="D104" s="1">
        <v>0</v>
      </c>
      <c r="E104" s="1">
        <f t="shared" si="45"/>
        <v>374</v>
      </c>
      <c r="F104" s="2">
        <v>10.8</v>
      </c>
      <c r="G104" s="2">
        <f t="shared" si="24"/>
        <v>4039.2000000000003</v>
      </c>
      <c r="H104" s="2">
        <f t="shared" si="25"/>
        <v>24235.2</v>
      </c>
      <c r="I104" s="2">
        <f t="shared" si="32"/>
        <v>10.8</v>
      </c>
      <c r="J104" s="2">
        <f t="shared" si="33"/>
        <v>4039.2000000000003</v>
      </c>
      <c r="K104" s="2">
        <f t="shared" si="26"/>
        <v>24235.2</v>
      </c>
      <c r="L104" s="97">
        <f t="shared" si="27"/>
        <v>48470.4</v>
      </c>
      <c r="M104" s="109">
        <v>3.92</v>
      </c>
      <c r="N104" s="89">
        <f t="shared" si="34"/>
        <v>17592.96</v>
      </c>
      <c r="O104" s="64">
        <v>1.46</v>
      </c>
      <c r="P104" s="90">
        <f t="shared" si="35"/>
        <v>6552.48</v>
      </c>
      <c r="Q104" s="64"/>
      <c r="R104" s="90">
        <f t="shared" si="36"/>
        <v>0</v>
      </c>
      <c r="S104" s="64"/>
      <c r="T104" s="91">
        <f t="shared" si="37"/>
        <v>0</v>
      </c>
      <c r="U104" s="64">
        <v>0</v>
      </c>
      <c r="V104" s="90">
        <f t="shared" si="38"/>
        <v>0</v>
      </c>
      <c r="W104" s="96">
        <v>3.01</v>
      </c>
      <c r="X104" s="91">
        <f t="shared" si="39"/>
        <v>13508.880000000001</v>
      </c>
      <c r="Y104" s="110">
        <f t="shared" si="43"/>
        <v>37654.32</v>
      </c>
      <c r="Z104" s="32">
        <v>-73898.86</v>
      </c>
      <c r="AA104" s="12">
        <f t="shared" si="40"/>
        <v>-1.5246183237604807</v>
      </c>
      <c r="AB104" s="25">
        <f t="shared" si="41"/>
        <v>-25428.46</v>
      </c>
      <c r="AC104" s="44"/>
      <c r="AD104" s="8">
        <f t="shared" si="28"/>
        <v>-25428.46</v>
      </c>
      <c r="AE104" s="167">
        <v>14967.360000000002</v>
      </c>
      <c r="AF104" s="168">
        <v>0</v>
      </c>
      <c r="AG104" s="168">
        <v>1247.2800000000002</v>
      </c>
      <c r="AH104" s="168">
        <v>0</v>
      </c>
      <c r="AI104" s="168">
        <v>14967.360000000002</v>
      </c>
      <c r="AJ104" s="59" t="s">
        <v>296</v>
      </c>
      <c r="AK104" s="26" t="s">
        <v>352</v>
      </c>
      <c r="AL104" s="45">
        <v>0</v>
      </c>
      <c r="AM104" s="45">
        <v>1341.02</v>
      </c>
      <c r="AN104" s="2">
        <v>0</v>
      </c>
      <c r="AO104" s="2">
        <v>1251.02</v>
      </c>
      <c r="AP104" s="1">
        <v>0</v>
      </c>
      <c r="AQ104" s="1">
        <v>6396.56</v>
      </c>
      <c r="AR104" s="24">
        <v>0</v>
      </c>
      <c r="AS104" s="24">
        <v>6044.1</v>
      </c>
      <c r="AT104" s="1">
        <v>0</v>
      </c>
      <c r="AU104" s="1">
        <v>1251.02</v>
      </c>
      <c r="AV104" s="24">
        <v>0</v>
      </c>
      <c r="AW104" s="24">
        <v>1251.02</v>
      </c>
      <c r="AX104" s="45">
        <v>0</v>
      </c>
      <c r="AY104" s="45">
        <v>1251.02</v>
      </c>
      <c r="AZ104" s="24">
        <v>0</v>
      </c>
      <c r="BA104" s="24">
        <v>1251.02</v>
      </c>
      <c r="BB104" s="24">
        <v>0</v>
      </c>
      <c r="BC104" s="24">
        <v>1251.02</v>
      </c>
      <c r="BD104" s="24">
        <v>0</v>
      </c>
      <c r="BE104" s="24">
        <v>1251.02</v>
      </c>
      <c r="BF104" s="24">
        <v>0</v>
      </c>
      <c r="BG104" s="24">
        <v>2759.02</v>
      </c>
      <c r="BH104" s="24">
        <v>0</v>
      </c>
      <c r="BI104" s="24">
        <v>1251.02</v>
      </c>
      <c r="BJ104" s="9">
        <f t="shared" si="29"/>
        <v>0</v>
      </c>
      <c r="BK104" s="9">
        <f t="shared" si="30"/>
        <v>26548.860000000004</v>
      </c>
      <c r="BL104" s="153">
        <f t="shared" si="31"/>
        <v>26548.860000000004</v>
      </c>
      <c r="BM104" s="154"/>
      <c r="BN104" s="154"/>
      <c r="BO104" s="154"/>
      <c r="BP104" s="154"/>
      <c r="BQ104" s="154"/>
      <c r="BR104" s="155">
        <f t="shared" si="44"/>
        <v>26548.860000000004</v>
      </c>
      <c r="BS104" s="154">
        <f>1077.12+1092.08</f>
        <v>2169.2</v>
      </c>
      <c r="BT104" s="199"/>
      <c r="BU104" s="20">
        <f t="shared" si="42"/>
        <v>-49808.12000000001</v>
      </c>
      <c r="BV104" s="231">
        <v>78466.67</v>
      </c>
      <c r="BW104" s="229"/>
      <c r="BX104" s="230"/>
    </row>
    <row r="105" spans="1:76" ht="15.75" customHeight="1">
      <c r="A105" s="1">
        <v>98</v>
      </c>
      <c r="B105" s="1" t="s">
        <v>360</v>
      </c>
      <c r="C105" s="1">
        <v>399.6</v>
      </c>
      <c r="D105" s="1">
        <v>0</v>
      </c>
      <c r="E105" s="1">
        <f t="shared" si="45"/>
        <v>399.6</v>
      </c>
      <c r="F105" s="2">
        <v>8.94</v>
      </c>
      <c r="G105" s="2">
        <f t="shared" si="24"/>
        <v>3572.424</v>
      </c>
      <c r="H105" s="2">
        <f t="shared" si="25"/>
        <v>21434.544</v>
      </c>
      <c r="I105" s="2">
        <f t="shared" si="32"/>
        <v>8.94</v>
      </c>
      <c r="J105" s="2">
        <f t="shared" si="33"/>
        <v>3572.424</v>
      </c>
      <c r="K105" s="2">
        <f t="shared" si="26"/>
        <v>21434.544</v>
      </c>
      <c r="L105" s="97">
        <f t="shared" si="27"/>
        <v>42869.088</v>
      </c>
      <c r="M105" s="109">
        <v>3.92</v>
      </c>
      <c r="N105" s="89">
        <f t="shared" si="34"/>
        <v>18797.184</v>
      </c>
      <c r="O105" s="64">
        <v>1.46</v>
      </c>
      <c r="P105" s="90">
        <f t="shared" si="35"/>
        <v>7000.992</v>
      </c>
      <c r="Q105" s="64"/>
      <c r="R105" s="90">
        <f t="shared" si="36"/>
        <v>0</v>
      </c>
      <c r="S105" s="64"/>
      <c r="T105" s="91">
        <f t="shared" si="37"/>
        <v>0</v>
      </c>
      <c r="U105" s="64">
        <v>0</v>
      </c>
      <c r="V105" s="90">
        <f t="shared" si="38"/>
        <v>0</v>
      </c>
      <c r="W105" s="96"/>
      <c r="X105" s="91">
        <f t="shared" si="39"/>
        <v>0</v>
      </c>
      <c r="Y105" s="110">
        <f t="shared" si="43"/>
        <v>25798.176</v>
      </c>
      <c r="Z105" s="32">
        <v>-1075.62</v>
      </c>
      <c r="AA105" s="12">
        <f t="shared" si="40"/>
        <v>-0.02509080669035926</v>
      </c>
      <c r="AB105" s="25">
        <f t="shared" si="41"/>
        <v>41793.468</v>
      </c>
      <c r="AC105" s="44"/>
      <c r="AD105" s="8">
        <f t="shared" si="28"/>
        <v>41793.468</v>
      </c>
      <c r="AE105" s="167">
        <v>13042.944</v>
      </c>
      <c r="AF105" s="168">
        <v>0</v>
      </c>
      <c r="AG105" s="168">
        <v>3482.789</v>
      </c>
      <c r="AH105" s="168">
        <v>0</v>
      </c>
      <c r="AI105" s="168">
        <v>41793.468</v>
      </c>
      <c r="AJ105" s="59" t="s">
        <v>299</v>
      </c>
      <c r="AK105" s="59"/>
      <c r="AL105" s="45">
        <v>0</v>
      </c>
      <c r="AM105" s="45">
        <v>1090.91</v>
      </c>
      <c r="AN105" s="2">
        <v>0</v>
      </c>
      <c r="AO105" s="2">
        <v>1090.91</v>
      </c>
      <c r="AP105" s="1">
        <v>0</v>
      </c>
      <c r="AQ105" s="1">
        <v>2126.71</v>
      </c>
      <c r="AR105" s="24">
        <v>0</v>
      </c>
      <c r="AS105" s="24">
        <v>1789.41</v>
      </c>
      <c r="AT105" s="1">
        <v>0</v>
      </c>
      <c r="AU105" s="1">
        <v>1090.91</v>
      </c>
      <c r="AV105" s="24">
        <v>0</v>
      </c>
      <c r="AW105" s="24">
        <v>1090.91</v>
      </c>
      <c r="AX105" s="45">
        <v>0</v>
      </c>
      <c r="AY105" s="45">
        <v>1090.91</v>
      </c>
      <c r="AZ105" s="24">
        <v>0</v>
      </c>
      <c r="BA105" s="24">
        <v>1685.14</v>
      </c>
      <c r="BB105" s="24">
        <v>0</v>
      </c>
      <c r="BC105" s="24">
        <v>1090.91</v>
      </c>
      <c r="BD105" s="24">
        <v>0</v>
      </c>
      <c r="BE105" s="24">
        <v>1090.91</v>
      </c>
      <c r="BF105" s="24">
        <v>0</v>
      </c>
      <c r="BG105" s="24">
        <v>2598.91</v>
      </c>
      <c r="BH105" s="24">
        <v>0</v>
      </c>
      <c r="BI105" s="24">
        <v>1090.91</v>
      </c>
      <c r="BJ105" s="9">
        <f t="shared" si="29"/>
        <v>0</v>
      </c>
      <c r="BK105" s="9">
        <f t="shared" si="30"/>
        <v>16927.45</v>
      </c>
      <c r="BL105" s="153">
        <f t="shared" si="31"/>
        <v>16927.45</v>
      </c>
      <c r="BM105" s="154"/>
      <c r="BN105" s="154">
        <v>3476</v>
      </c>
      <c r="BO105" s="154"/>
      <c r="BP105" s="154"/>
      <c r="BQ105" s="154"/>
      <c r="BR105" s="155">
        <f t="shared" si="44"/>
        <v>20403.45</v>
      </c>
      <c r="BS105" s="154">
        <f>1150.85+1166.83</f>
        <v>2317.68</v>
      </c>
      <c r="BT105" s="199"/>
      <c r="BU105" s="20">
        <f t="shared" si="42"/>
        <v>23707.698</v>
      </c>
      <c r="BV105" s="231">
        <v>212803.86</v>
      </c>
      <c r="BW105" s="229"/>
      <c r="BX105" s="230"/>
    </row>
    <row r="106" spans="1:76" ht="15.75" customHeight="1">
      <c r="A106" s="1">
        <v>99</v>
      </c>
      <c r="B106" s="1" t="s">
        <v>93</v>
      </c>
      <c r="C106" s="1">
        <v>461.9</v>
      </c>
      <c r="D106" s="1">
        <v>0</v>
      </c>
      <c r="E106" s="1">
        <f t="shared" si="45"/>
        <v>461.9</v>
      </c>
      <c r="F106" s="2">
        <v>9.71</v>
      </c>
      <c r="G106" s="2">
        <f t="shared" si="24"/>
        <v>4485.049</v>
      </c>
      <c r="H106" s="2">
        <f t="shared" si="25"/>
        <v>26910.294</v>
      </c>
      <c r="I106" s="2">
        <f t="shared" si="32"/>
        <v>9.71</v>
      </c>
      <c r="J106" s="2">
        <f t="shared" si="33"/>
        <v>4485.049</v>
      </c>
      <c r="K106" s="2">
        <f t="shared" si="26"/>
        <v>26910.294</v>
      </c>
      <c r="L106" s="97">
        <f t="shared" si="27"/>
        <v>53820.588</v>
      </c>
      <c r="M106" s="109">
        <v>3.92</v>
      </c>
      <c r="N106" s="89">
        <f t="shared" si="34"/>
        <v>21727.775999999998</v>
      </c>
      <c r="O106" s="64">
        <v>1.46</v>
      </c>
      <c r="P106" s="90">
        <f t="shared" si="35"/>
        <v>8092.487999999999</v>
      </c>
      <c r="Q106" s="64"/>
      <c r="R106" s="90">
        <f t="shared" si="36"/>
        <v>0</v>
      </c>
      <c r="S106" s="64"/>
      <c r="T106" s="91">
        <f t="shared" si="37"/>
        <v>0</v>
      </c>
      <c r="U106" s="64">
        <v>0</v>
      </c>
      <c r="V106" s="90">
        <f t="shared" si="38"/>
        <v>0</v>
      </c>
      <c r="W106" s="96"/>
      <c r="X106" s="91">
        <f t="shared" si="39"/>
        <v>0</v>
      </c>
      <c r="Y106" s="110">
        <f t="shared" si="43"/>
        <v>29820.263999999996</v>
      </c>
      <c r="Z106" s="32"/>
      <c r="AA106" s="12">
        <f t="shared" si="40"/>
        <v>0</v>
      </c>
      <c r="AB106" s="25">
        <f t="shared" si="41"/>
        <v>53820.588</v>
      </c>
      <c r="AC106" s="44"/>
      <c r="AD106" s="8">
        <f t="shared" si="28"/>
        <v>53820.588</v>
      </c>
      <c r="AE106" s="167">
        <v>15076.416</v>
      </c>
      <c r="AF106" s="168">
        <v>0</v>
      </c>
      <c r="AG106" s="168">
        <v>4485.049</v>
      </c>
      <c r="AH106" s="168">
        <v>0</v>
      </c>
      <c r="AI106" s="168">
        <v>53820.588</v>
      </c>
      <c r="AJ106" s="58" t="s">
        <v>296</v>
      </c>
      <c r="AK106" s="59"/>
      <c r="AL106" s="45">
        <v>0</v>
      </c>
      <c r="AM106" s="45">
        <v>1260.99</v>
      </c>
      <c r="AN106" s="2">
        <v>0</v>
      </c>
      <c r="AO106" s="2">
        <v>2594.18</v>
      </c>
      <c r="AP106" s="1">
        <v>0</v>
      </c>
      <c r="AQ106" s="1">
        <v>1260.99</v>
      </c>
      <c r="AR106" s="24">
        <v>0</v>
      </c>
      <c r="AS106" s="24">
        <v>8147.97</v>
      </c>
      <c r="AT106" s="1">
        <v>0</v>
      </c>
      <c r="AU106" s="1">
        <v>1260.99</v>
      </c>
      <c r="AV106" s="24">
        <v>0</v>
      </c>
      <c r="AW106" s="24">
        <v>2611.38</v>
      </c>
      <c r="AX106" s="45">
        <v>0</v>
      </c>
      <c r="AY106" s="45">
        <v>3532.6</v>
      </c>
      <c r="AZ106" s="24">
        <v>0</v>
      </c>
      <c r="BA106" s="24">
        <v>3137.81</v>
      </c>
      <c r="BB106" s="24">
        <v>0</v>
      </c>
      <c r="BC106" s="24">
        <v>4834.99</v>
      </c>
      <c r="BD106" s="24">
        <v>0</v>
      </c>
      <c r="BE106" s="24">
        <v>4280.39</v>
      </c>
      <c r="BF106" s="24">
        <v>0</v>
      </c>
      <c r="BG106" s="24">
        <v>4280.39</v>
      </c>
      <c r="BH106" s="24">
        <v>0</v>
      </c>
      <c r="BI106" s="24">
        <v>3138.67</v>
      </c>
      <c r="BJ106" s="9">
        <f t="shared" si="29"/>
        <v>0</v>
      </c>
      <c r="BK106" s="9">
        <f t="shared" si="30"/>
        <v>40341.35</v>
      </c>
      <c r="BL106" s="153">
        <f t="shared" si="31"/>
        <v>40341.35</v>
      </c>
      <c r="BM106" s="154"/>
      <c r="BN106" s="154"/>
      <c r="BO106" s="154"/>
      <c r="BP106" s="154"/>
      <c r="BQ106" s="154"/>
      <c r="BR106" s="155">
        <f t="shared" si="44"/>
        <v>40341.35</v>
      </c>
      <c r="BS106" s="198">
        <v>674.37</v>
      </c>
      <c r="BT106" s="199"/>
      <c r="BU106" s="20">
        <f t="shared" si="42"/>
        <v>14153.608000000006</v>
      </c>
      <c r="BV106" s="231">
        <v>56371.8</v>
      </c>
      <c r="BW106" s="229"/>
      <c r="BX106" s="230"/>
    </row>
    <row r="107" spans="1:76" ht="15.75" customHeight="1">
      <c r="A107" s="1">
        <v>100</v>
      </c>
      <c r="B107" s="1" t="s">
        <v>94</v>
      </c>
      <c r="C107" s="18">
        <v>401.9</v>
      </c>
      <c r="D107" s="1">
        <v>0</v>
      </c>
      <c r="E107" s="1">
        <f t="shared" si="45"/>
        <v>401.9</v>
      </c>
      <c r="F107" s="2">
        <v>13.23</v>
      </c>
      <c r="G107" s="2">
        <f t="shared" si="24"/>
        <v>5317.137</v>
      </c>
      <c r="H107" s="2">
        <f t="shared" si="25"/>
        <v>31902.822</v>
      </c>
      <c r="I107" s="2">
        <f t="shared" si="32"/>
        <v>13.23</v>
      </c>
      <c r="J107" s="2">
        <f t="shared" si="33"/>
        <v>5317.137</v>
      </c>
      <c r="K107" s="2">
        <f t="shared" si="26"/>
        <v>31902.822</v>
      </c>
      <c r="L107" s="97">
        <f t="shared" si="27"/>
        <v>63805.644</v>
      </c>
      <c r="M107" s="109">
        <v>3.92</v>
      </c>
      <c r="N107" s="89">
        <f t="shared" si="34"/>
        <v>18905.375999999997</v>
      </c>
      <c r="O107" s="64">
        <v>1.46</v>
      </c>
      <c r="P107" s="90">
        <f t="shared" si="35"/>
        <v>7041.2880000000005</v>
      </c>
      <c r="Q107" s="64">
        <v>0.52</v>
      </c>
      <c r="R107" s="90">
        <f t="shared" si="36"/>
        <v>2507.8559999999998</v>
      </c>
      <c r="S107" s="64">
        <v>0.89</v>
      </c>
      <c r="T107" s="91">
        <f t="shared" si="37"/>
        <v>4292.2919999999995</v>
      </c>
      <c r="U107" s="64">
        <v>0.86</v>
      </c>
      <c r="V107" s="90">
        <f t="shared" si="38"/>
        <v>4147.607999999999</v>
      </c>
      <c r="W107" s="96"/>
      <c r="X107" s="91">
        <f t="shared" si="39"/>
        <v>0</v>
      </c>
      <c r="Y107" s="110">
        <f t="shared" si="43"/>
        <v>36894.42</v>
      </c>
      <c r="Z107" s="32"/>
      <c r="AA107" s="12">
        <f t="shared" si="40"/>
        <v>0</v>
      </c>
      <c r="AB107" s="25">
        <f t="shared" si="41"/>
        <v>63805.644</v>
      </c>
      <c r="AC107" s="44"/>
      <c r="AD107" s="8">
        <f t="shared" si="28"/>
        <v>63805.644</v>
      </c>
      <c r="AE107" s="167">
        <v>15878.016000000001</v>
      </c>
      <c r="AF107" s="168">
        <v>0</v>
      </c>
      <c r="AG107" s="168">
        <v>5317.137</v>
      </c>
      <c r="AH107" s="168">
        <v>0</v>
      </c>
      <c r="AI107" s="168">
        <v>63805.644</v>
      </c>
      <c r="AJ107" s="59" t="s">
        <v>296</v>
      </c>
      <c r="AK107" s="59"/>
      <c r="AL107" s="45">
        <v>0</v>
      </c>
      <c r="AM107" s="45">
        <v>3145.16</v>
      </c>
      <c r="AN107" s="2">
        <v>0</v>
      </c>
      <c r="AO107" s="2">
        <v>1327.19</v>
      </c>
      <c r="AP107" s="1">
        <v>0</v>
      </c>
      <c r="AQ107" s="1">
        <v>16680.37</v>
      </c>
      <c r="AR107" s="24">
        <v>0</v>
      </c>
      <c r="AS107" s="24">
        <v>2025.69</v>
      </c>
      <c r="AT107" s="1">
        <v>0</v>
      </c>
      <c r="AU107" s="1">
        <v>5654.41</v>
      </c>
      <c r="AV107" s="24">
        <v>0</v>
      </c>
      <c r="AW107" s="24">
        <v>1327.19</v>
      </c>
      <c r="AX107" s="45">
        <v>0</v>
      </c>
      <c r="AY107" s="45">
        <v>1327.19</v>
      </c>
      <c r="AZ107" s="24">
        <v>0</v>
      </c>
      <c r="BA107" s="24">
        <v>1327.19</v>
      </c>
      <c r="BB107" s="24">
        <v>0</v>
      </c>
      <c r="BC107" s="24">
        <v>2407.19</v>
      </c>
      <c r="BD107" s="24">
        <v>0</v>
      </c>
      <c r="BE107" s="24">
        <v>1327.19</v>
      </c>
      <c r="BF107" s="24">
        <v>0</v>
      </c>
      <c r="BG107" s="24">
        <v>3544.35</v>
      </c>
      <c r="BH107" s="24">
        <v>0</v>
      </c>
      <c r="BI107" s="24">
        <v>1327.19</v>
      </c>
      <c r="BJ107" s="9">
        <f t="shared" si="29"/>
        <v>0</v>
      </c>
      <c r="BK107" s="9">
        <f t="shared" si="30"/>
        <v>41420.310000000005</v>
      </c>
      <c r="BL107" s="153">
        <f t="shared" si="31"/>
        <v>41420.310000000005</v>
      </c>
      <c r="BM107" s="154"/>
      <c r="BN107" s="154">
        <v>2503.4</v>
      </c>
      <c r="BO107" s="154">
        <v>312.67</v>
      </c>
      <c r="BP107" s="154"/>
      <c r="BQ107" s="154"/>
      <c r="BR107" s="155">
        <f t="shared" si="44"/>
        <v>44236.380000000005</v>
      </c>
      <c r="BS107" s="154">
        <f>1157.47+1173.55</f>
        <v>2331.02</v>
      </c>
      <c r="BT107" s="199">
        <v>4128</v>
      </c>
      <c r="BU107" s="20">
        <f t="shared" si="42"/>
        <v>21900.283999999996</v>
      </c>
      <c r="BV107" s="231">
        <v>158340.44</v>
      </c>
      <c r="BW107" s="229"/>
      <c r="BX107" s="230"/>
    </row>
    <row r="108" spans="1:76" ht="15.75" customHeight="1">
      <c r="A108" s="1">
        <v>101</v>
      </c>
      <c r="B108" s="1" t="s">
        <v>95</v>
      </c>
      <c r="C108" s="1">
        <v>461.4</v>
      </c>
      <c r="D108" s="1">
        <v>0</v>
      </c>
      <c r="E108" s="1">
        <f t="shared" si="45"/>
        <v>461.4</v>
      </c>
      <c r="F108" s="2">
        <v>13.78</v>
      </c>
      <c r="G108" s="2">
        <f t="shared" si="24"/>
        <v>6358.092</v>
      </c>
      <c r="H108" s="2">
        <f t="shared" si="25"/>
        <v>38148.551999999996</v>
      </c>
      <c r="I108" s="2">
        <f t="shared" si="32"/>
        <v>13.78</v>
      </c>
      <c r="J108" s="2">
        <f t="shared" si="33"/>
        <v>6358.092</v>
      </c>
      <c r="K108" s="2">
        <f t="shared" si="26"/>
        <v>38148.551999999996</v>
      </c>
      <c r="L108" s="97">
        <f t="shared" si="27"/>
        <v>76297.10399999999</v>
      </c>
      <c r="M108" s="109">
        <v>3.92</v>
      </c>
      <c r="N108" s="89">
        <f t="shared" si="34"/>
        <v>21704.255999999998</v>
      </c>
      <c r="O108" s="64">
        <v>1.46</v>
      </c>
      <c r="P108" s="90">
        <f t="shared" si="35"/>
        <v>8083.728</v>
      </c>
      <c r="Q108" s="64"/>
      <c r="R108" s="90">
        <f t="shared" si="36"/>
        <v>0</v>
      </c>
      <c r="S108" s="64"/>
      <c r="T108" s="91">
        <f t="shared" si="37"/>
        <v>0</v>
      </c>
      <c r="U108" s="64">
        <v>0</v>
      </c>
      <c r="V108" s="90">
        <f t="shared" si="38"/>
        <v>0</v>
      </c>
      <c r="W108" s="96"/>
      <c r="X108" s="91">
        <f t="shared" si="39"/>
        <v>0</v>
      </c>
      <c r="Y108" s="110">
        <f t="shared" si="43"/>
        <v>29787.983999999997</v>
      </c>
      <c r="Z108" s="32"/>
      <c r="AA108" s="12">
        <f t="shared" si="40"/>
        <v>0</v>
      </c>
      <c r="AB108" s="25">
        <f t="shared" si="41"/>
        <v>76297.10399999999</v>
      </c>
      <c r="AC108" s="44"/>
      <c r="AD108" s="8">
        <f t="shared" si="28"/>
        <v>76297.10399999999</v>
      </c>
      <c r="AE108" s="167">
        <v>15060.096000000001</v>
      </c>
      <c r="AF108" s="168">
        <v>0</v>
      </c>
      <c r="AG108" s="168">
        <v>6358.092</v>
      </c>
      <c r="AH108" s="168">
        <v>0</v>
      </c>
      <c r="AI108" s="168">
        <v>76297.10399999999</v>
      </c>
      <c r="AJ108" s="59"/>
      <c r="AK108" s="59"/>
      <c r="AL108" s="45">
        <v>0</v>
      </c>
      <c r="AM108" s="45">
        <v>2090.14</v>
      </c>
      <c r="AN108" s="2">
        <v>0</v>
      </c>
      <c r="AO108" s="2">
        <v>7063.73</v>
      </c>
      <c r="AP108" s="1">
        <v>0</v>
      </c>
      <c r="AQ108" s="1">
        <v>2090.14</v>
      </c>
      <c r="AR108" s="24">
        <v>0</v>
      </c>
      <c r="AS108" s="24">
        <v>8977.12</v>
      </c>
      <c r="AT108" s="1">
        <v>0</v>
      </c>
      <c r="AU108" s="1">
        <v>2805.31</v>
      </c>
      <c r="AV108" s="24">
        <v>0</v>
      </c>
      <c r="AW108" s="24">
        <v>5247.7</v>
      </c>
      <c r="AX108" s="45">
        <v>0</v>
      </c>
      <c r="AY108" s="45">
        <v>4644.92</v>
      </c>
      <c r="AZ108" s="24">
        <v>0</v>
      </c>
      <c r="BA108" s="24">
        <v>5286.01</v>
      </c>
      <c r="BB108" s="24">
        <v>0</v>
      </c>
      <c r="BC108" s="24">
        <v>6860.31</v>
      </c>
      <c r="BD108" s="24">
        <v>0</v>
      </c>
      <c r="BE108" s="24">
        <v>8628.57</v>
      </c>
      <c r="BF108" s="24">
        <v>0</v>
      </c>
      <c r="BG108" s="24">
        <v>6189.54</v>
      </c>
      <c r="BH108" s="24">
        <v>0</v>
      </c>
      <c r="BI108" s="24">
        <v>3967.82</v>
      </c>
      <c r="BJ108" s="9">
        <f t="shared" si="29"/>
        <v>0</v>
      </c>
      <c r="BK108" s="9">
        <f t="shared" si="30"/>
        <v>63851.31</v>
      </c>
      <c r="BL108" s="153">
        <f t="shared" si="31"/>
        <v>63851.31</v>
      </c>
      <c r="BM108" s="154"/>
      <c r="BN108" s="154"/>
      <c r="BO108" s="154"/>
      <c r="BP108" s="154">
        <v>524.76</v>
      </c>
      <c r="BQ108" s="154"/>
      <c r="BR108" s="155">
        <f t="shared" si="44"/>
        <v>64376.07</v>
      </c>
      <c r="BS108" s="198">
        <v>673.64</v>
      </c>
      <c r="BT108" s="199"/>
      <c r="BU108" s="20">
        <f t="shared" si="42"/>
        <v>12594.673999999992</v>
      </c>
      <c r="BV108" s="231">
        <v>115440.77</v>
      </c>
      <c r="BW108" s="229"/>
      <c r="BX108" s="230"/>
    </row>
    <row r="109" spans="1:76" ht="15.75">
      <c r="A109" s="1">
        <v>102</v>
      </c>
      <c r="B109" s="1" t="s">
        <v>96</v>
      </c>
      <c r="C109" s="1">
        <v>574.3</v>
      </c>
      <c r="D109" s="1">
        <v>0</v>
      </c>
      <c r="E109" s="1">
        <f t="shared" si="45"/>
        <v>574.3</v>
      </c>
      <c r="F109" s="2">
        <v>10.8</v>
      </c>
      <c r="G109" s="2">
        <f t="shared" si="24"/>
        <v>6202.44</v>
      </c>
      <c r="H109" s="2">
        <f t="shared" si="25"/>
        <v>37214.64</v>
      </c>
      <c r="I109" s="2">
        <f t="shared" si="32"/>
        <v>10.8</v>
      </c>
      <c r="J109" s="2">
        <f t="shared" si="33"/>
        <v>6202.44</v>
      </c>
      <c r="K109" s="2">
        <f t="shared" si="26"/>
        <v>37214.64</v>
      </c>
      <c r="L109" s="97">
        <f t="shared" si="27"/>
        <v>74429.28</v>
      </c>
      <c r="M109" s="109">
        <v>3.92</v>
      </c>
      <c r="N109" s="89">
        <f t="shared" si="34"/>
        <v>27015.072</v>
      </c>
      <c r="O109" s="64">
        <v>1.46</v>
      </c>
      <c r="P109" s="90">
        <f t="shared" si="35"/>
        <v>10061.735999999999</v>
      </c>
      <c r="Q109" s="64"/>
      <c r="R109" s="90">
        <f t="shared" si="36"/>
        <v>0</v>
      </c>
      <c r="S109" s="64"/>
      <c r="T109" s="91">
        <f t="shared" si="37"/>
        <v>0</v>
      </c>
      <c r="U109" s="64">
        <v>0</v>
      </c>
      <c r="V109" s="90">
        <f t="shared" si="38"/>
        <v>0</v>
      </c>
      <c r="W109" s="96">
        <v>3.01</v>
      </c>
      <c r="X109" s="91">
        <f t="shared" si="39"/>
        <v>20743.715999999997</v>
      </c>
      <c r="Y109" s="110">
        <f t="shared" si="43"/>
        <v>57820.52399999999</v>
      </c>
      <c r="Z109" s="32">
        <v>-77038.47</v>
      </c>
      <c r="AA109" s="12">
        <f t="shared" si="40"/>
        <v>-1.035055961847273</v>
      </c>
      <c r="AB109" s="25">
        <f t="shared" si="41"/>
        <v>-2609.1900000000023</v>
      </c>
      <c r="AC109" s="44"/>
      <c r="AD109" s="8">
        <f t="shared" si="28"/>
        <v>-2609.1900000000023</v>
      </c>
      <c r="AE109" s="167">
        <v>18745.152000000002</v>
      </c>
      <c r="AF109" s="168">
        <v>0</v>
      </c>
      <c r="AG109" s="168">
        <v>1562.0960000000002</v>
      </c>
      <c r="AH109" s="168">
        <v>0</v>
      </c>
      <c r="AI109" s="168">
        <v>18745.152000000002</v>
      </c>
      <c r="AJ109" s="59" t="s">
        <v>296</v>
      </c>
      <c r="AK109" s="26" t="s">
        <v>352</v>
      </c>
      <c r="AL109" s="45">
        <v>0</v>
      </c>
      <c r="AM109" s="45">
        <v>3840.3</v>
      </c>
      <c r="AN109" s="2">
        <v>0</v>
      </c>
      <c r="AO109" s="2">
        <v>1567.84</v>
      </c>
      <c r="AP109" s="1">
        <v>0</v>
      </c>
      <c r="AQ109" s="1">
        <v>6840.3</v>
      </c>
      <c r="AR109" s="24">
        <v>0</v>
      </c>
      <c r="AS109" s="24">
        <v>2266.34</v>
      </c>
      <c r="AT109" s="1">
        <v>0</v>
      </c>
      <c r="AU109" s="1">
        <v>1999.84</v>
      </c>
      <c r="AV109" s="24">
        <v>0</v>
      </c>
      <c r="AW109" s="24">
        <v>1567.84</v>
      </c>
      <c r="AX109" s="45">
        <v>0</v>
      </c>
      <c r="AY109" s="45">
        <v>5853.56</v>
      </c>
      <c r="AZ109" s="24">
        <v>0</v>
      </c>
      <c r="BA109" s="24">
        <v>1567.84</v>
      </c>
      <c r="BB109" s="24">
        <v>0</v>
      </c>
      <c r="BC109" s="24">
        <v>1567.84</v>
      </c>
      <c r="BD109" s="24">
        <v>0</v>
      </c>
      <c r="BE109" s="24">
        <v>1567.84</v>
      </c>
      <c r="BF109" s="24">
        <v>0</v>
      </c>
      <c r="BG109" s="24">
        <v>4893.84</v>
      </c>
      <c r="BH109" s="24">
        <v>0</v>
      </c>
      <c r="BI109" s="24">
        <v>4067.84</v>
      </c>
      <c r="BJ109" s="9">
        <f t="shared" si="29"/>
        <v>0</v>
      </c>
      <c r="BK109" s="9">
        <f t="shared" si="30"/>
        <v>37601.22</v>
      </c>
      <c r="BL109" s="153">
        <f t="shared" si="31"/>
        <v>37601.22</v>
      </c>
      <c r="BM109" s="154"/>
      <c r="BN109" s="154"/>
      <c r="BO109" s="154"/>
      <c r="BP109" s="154"/>
      <c r="BQ109" s="154"/>
      <c r="BR109" s="155">
        <f t="shared" si="44"/>
        <v>37601.22</v>
      </c>
      <c r="BS109" s="154">
        <f>1653.98+1671.7</f>
        <v>3325.6800000000003</v>
      </c>
      <c r="BT109" s="199"/>
      <c r="BU109" s="20">
        <f t="shared" si="42"/>
        <v>-36884.73</v>
      </c>
      <c r="BV109" s="231">
        <v>311376.07</v>
      </c>
      <c r="BW109" s="229"/>
      <c r="BX109" s="230"/>
    </row>
    <row r="110" spans="1:76" ht="15.75">
      <c r="A110" s="1">
        <v>103</v>
      </c>
      <c r="B110" s="1" t="s">
        <v>97</v>
      </c>
      <c r="C110" s="1">
        <v>490</v>
      </c>
      <c r="D110" s="1">
        <v>0</v>
      </c>
      <c r="E110" s="1">
        <f t="shared" si="45"/>
        <v>490</v>
      </c>
      <c r="F110" s="2">
        <v>13.78</v>
      </c>
      <c r="G110" s="2">
        <f t="shared" si="24"/>
        <v>6752.2</v>
      </c>
      <c r="H110" s="2">
        <f t="shared" si="25"/>
        <v>40513.2</v>
      </c>
      <c r="I110" s="2">
        <f t="shared" si="32"/>
        <v>13.78</v>
      </c>
      <c r="J110" s="2">
        <f t="shared" si="33"/>
        <v>6752.2</v>
      </c>
      <c r="K110" s="2">
        <f t="shared" si="26"/>
        <v>40513.2</v>
      </c>
      <c r="L110" s="97">
        <f t="shared" si="27"/>
        <v>81026.4</v>
      </c>
      <c r="M110" s="109">
        <v>3.92</v>
      </c>
      <c r="N110" s="89">
        <f t="shared" si="34"/>
        <v>23049.6</v>
      </c>
      <c r="O110" s="64">
        <v>1.46</v>
      </c>
      <c r="P110" s="90">
        <f t="shared" si="35"/>
        <v>8584.8</v>
      </c>
      <c r="Q110" s="64"/>
      <c r="R110" s="90">
        <f t="shared" si="36"/>
        <v>0</v>
      </c>
      <c r="S110" s="64"/>
      <c r="T110" s="91">
        <f t="shared" si="37"/>
        <v>0</v>
      </c>
      <c r="U110" s="64">
        <v>0</v>
      </c>
      <c r="V110" s="90">
        <f t="shared" si="38"/>
        <v>0</v>
      </c>
      <c r="W110" s="96"/>
      <c r="X110" s="91">
        <f t="shared" si="39"/>
        <v>0</v>
      </c>
      <c r="Y110" s="110">
        <f t="shared" si="43"/>
        <v>31634.399999999998</v>
      </c>
      <c r="Z110" s="32">
        <v>-33819.81</v>
      </c>
      <c r="AA110" s="12">
        <f t="shared" si="40"/>
        <v>-0.4173924794881668</v>
      </c>
      <c r="AB110" s="25">
        <f t="shared" si="41"/>
        <v>47206.59</v>
      </c>
      <c r="AC110" s="44"/>
      <c r="AD110" s="8">
        <f t="shared" si="28"/>
        <v>47206.59</v>
      </c>
      <c r="AE110" s="167">
        <v>18753.600000000002</v>
      </c>
      <c r="AF110" s="168">
        <v>0</v>
      </c>
      <c r="AG110" s="168">
        <v>3933.8824999999997</v>
      </c>
      <c r="AH110" s="168">
        <v>0</v>
      </c>
      <c r="AI110" s="168">
        <v>47206.59</v>
      </c>
      <c r="AJ110" s="59" t="s">
        <v>296</v>
      </c>
      <c r="AK110" s="59"/>
      <c r="AL110" s="45">
        <v>0</v>
      </c>
      <c r="AM110" s="45">
        <v>1567.7</v>
      </c>
      <c r="AN110" s="2">
        <v>0</v>
      </c>
      <c r="AO110" s="2">
        <v>6279.33</v>
      </c>
      <c r="AP110" s="1">
        <v>0</v>
      </c>
      <c r="AQ110" s="1">
        <v>1567.7</v>
      </c>
      <c r="AR110" s="24">
        <v>0</v>
      </c>
      <c r="AS110" s="24">
        <v>2266.2</v>
      </c>
      <c r="AT110" s="1">
        <v>0</v>
      </c>
      <c r="AU110" s="1">
        <v>1567.7</v>
      </c>
      <c r="AV110" s="24">
        <v>0</v>
      </c>
      <c r="AW110" s="24">
        <v>1567.7</v>
      </c>
      <c r="AX110" s="45">
        <v>0</v>
      </c>
      <c r="AY110" s="45">
        <v>10683.23</v>
      </c>
      <c r="AZ110" s="24">
        <v>0</v>
      </c>
      <c r="BA110" s="24">
        <v>1567.7</v>
      </c>
      <c r="BB110" s="24">
        <v>0</v>
      </c>
      <c r="BC110" s="24">
        <v>4318.91</v>
      </c>
      <c r="BD110" s="24">
        <v>0</v>
      </c>
      <c r="BE110" s="24">
        <v>4587.1</v>
      </c>
      <c r="BF110" s="24">
        <v>0</v>
      </c>
      <c r="BG110" s="24">
        <v>6617.26</v>
      </c>
      <c r="BH110" s="24">
        <v>0</v>
      </c>
      <c r="BI110" s="24">
        <v>1662.7</v>
      </c>
      <c r="BJ110" s="9">
        <f t="shared" si="29"/>
        <v>0</v>
      </c>
      <c r="BK110" s="9">
        <f t="shared" si="30"/>
        <v>44253.23</v>
      </c>
      <c r="BL110" s="153">
        <f t="shared" si="31"/>
        <v>44253.23</v>
      </c>
      <c r="BM110" s="154"/>
      <c r="BN110" s="154">
        <v>2579.64</v>
      </c>
      <c r="BO110" s="154"/>
      <c r="BP110" s="154"/>
      <c r="BQ110" s="154"/>
      <c r="BR110" s="155">
        <f t="shared" si="44"/>
        <v>46832.87</v>
      </c>
      <c r="BS110" s="198">
        <v>1073.1</v>
      </c>
      <c r="BT110" s="199"/>
      <c r="BU110" s="20">
        <f t="shared" si="42"/>
        <v>1446.8199999999938</v>
      </c>
      <c r="BV110" s="231">
        <v>9871.76</v>
      </c>
      <c r="BW110" s="229"/>
      <c r="BX110" s="230"/>
    </row>
    <row r="111" spans="1:76" ht="15.75">
      <c r="A111" s="1">
        <v>104</v>
      </c>
      <c r="B111" s="1" t="s">
        <v>98</v>
      </c>
      <c r="C111" s="1">
        <v>6179.8</v>
      </c>
      <c r="D111" s="1">
        <v>0</v>
      </c>
      <c r="E111" s="1">
        <f t="shared" si="45"/>
        <v>6179.8</v>
      </c>
      <c r="F111" s="2">
        <v>15.87</v>
      </c>
      <c r="G111" s="2">
        <f t="shared" si="24"/>
        <v>98073.42599999999</v>
      </c>
      <c r="H111" s="2">
        <f t="shared" si="25"/>
        <v>588440.556</v>
      </c>
      <c r="I111" s="2">
        <f t="shared" si="32"/>
        <v>15.87</v>
      </c>
      <c r="J111" s="2">
        <f t="shared" si="33"/>
        <v>98073.42599999999</v>
      </c>
      <c r="K111" s="2">
        <f t="shared" si="26"/>
        <v>588440.556</v>
      </c>
      <c r="L111" s="97">
        <f t="shared" si="27"/>
        <v>1176881.112</v>
      </c>
      <c r="M111" s="109">
        <v>3.92</v>
      </c>
      <c r="N111" s="89">
        <f t="shared" si="34"/>
        <v>290697.792</v>
      </c>
      <c r="O111" s="64">
        <v>1.46</v>
      </c>
      <c r="P111" s="90">
        <f t="shared" si="35"/>
        <v>108270.09599999999</v>
      </c>
      <c r="Q111" s="64"/>
      <c r="R111" s="90">
        <f t="shared" si="36"/>
        <v>0</v>
      </c>
      <c r="S111" s="64"/>
      <c r="T111" s="91">
        <f t="shared" si="37"/>
        <v>0</v>
      </c>
      <c r="U111" s="64">
        <v>0.3</v>
      </c>
      <c r="V111" s="90">
        <f t="shared" si="38"/>
        <v>22247.28</v>
      </c>
      <c r="W111" s="96"/>
      <c r="X111" s="91">
        <f t="shared" si="39"/>
        <v>0</v>
      </c>
      <c r="Y111" s="110">
        <f t="shared" si="43"/>
        <v>421215.16800000006</v>
      </c>
      <c r="Z111" s="32">
        <v>-1085138.24</v>
      </c>
      <c r="AA111" s="12">
        <f t="shared" si="40"/>
        <v>-0.9220457605576731</v>
      </c>
      <c r="AB111" s="25">
        <f t="shared" si="41"/>
        <v>91742.87199999997</v>
      </c>
      <c r="AC111" s="166"/>
      <c r="AD111" s="8">
        <f t="shared" si="28"/>
        <v>91742.87199999997</v>
      </c>
      <c r="AE111" s="167">
        <v>407247.88800000004</v>
      </c>
      <c r="AF111" s="168">
        <v>19690.267221346356</v>
      </c>
      <c r="AG111" s="168">
        <v>14247.056778653649</v>
      </c>
      <c r="AH111" s="168">
        <v>236283.20665615625</v>
      </c>
      <c r="AI111" s="168">
        <v>170964.68134384378</v>
      </c>
      <c r="AJ111" s="59"/>
      <c r="AK111" s="26" t="s">
        <v>352</v>
      </c>
      <c r="AL111" s="45">
        <v>82566</v>
      </c>
      <c r="AM111" s="45">
        <v>17560.85</v>
      </c>
      <c r="AN111" s="2">
        <v>26412.69</v>
      </c>
      <c r="AO111" s="2">
        <v>51339.38</v>
      </c>
      <c r="AP111" s="1">
        <v>40616.91</v>
      </c>
      <c r="AQ111" s="1">
        <v>25484.46</v>
      </c>
      <c r="AR111" s="24">
        <v>24534.09</v>
      </c>
      <c r="AS111" s="24">
        <v>18836.85</v>
      </c>
      <c r="AT111" s="1">
        <v>54042.67</v>
      </c>
      <c r="AU111" s="1">
        <v>31552.09</v>
      </c>
      <c r="AV111" s="24">
        <v>47824.25</v>
      </c>
      <c r="AW111" s="24">
        <v>74075.32</v>
      </c>
      <c r="AX111" s="45">
        <v>44598.01</v>
      </c>
      <c r="AY111" s="45">
        <v>42217.39</v>
      </c>
      <c r="AZ111" s="24">
        <v>28693.57</v>
      </c>
      <c r="BA111" s="24">
        <v>28844.85</v>
      </c>
      <c r="BB111" s="24">
        <v>45396.68</v>
      </c>
      <c r="BC111" s="24">
        <v>41197.87</v>
      </c>
      <c r="BD111" s="24">
        <v>17925.78</v>
      </c>
      <c r="BE111" s="24">
        <v>73371.67</v>
      </c>
      <c r="BF111" s="24">
        <v>31503.42</v>
      </c>
      <c r="BG111" s="24">
        <v>23557.64</v>
      </c>
      <c r="BH111" s="24">
        <v>16806.34</v>
      </c>
      <c r="BI111" s="24">
        <v>23221.56</v>
      </c>
      <c r="BJ111" s="9">
        <f t="shared" si="29"/>
        <v>460920.41000000003</v>
      </c>
      <c r="BK111" s="9">
        <f t="shared" si="30"/>
        <v>451259.93</v>
      </c>
      <c r="BL111" s="153">
        <f t="shared" si="31"/>
        <v>912180.3400000001</v>
      </c>
      <c r="BM111" s="154"/>
      <c r="BN111" s="154">
        <f>39937.41+73224.34</f>
        <v>113161.75</v>
      </c>
      <c r="BO111" s="154"/>
      <c r="BP111" s="154"/>
      <c r="BQ111" s="154"/>
      <c r="BR111" s="155">
        <f t="shared" si="44"/>
        <v>1025342.0900000001</v>
      </c>
      <c r="BS111" s="198">
        <v>4511.11</v>
      </c>
      <c r="BT111" s="199">
        <v>8256</v>
      </c>
      <c r="BU111" s="20">
        <f t="shared" si="42"/>
        <v>-929088.1080000001</v>
      </c>
      <c r="BV111" s="231">
        <v>436479.84</v>
      </c>
      <c r="BW111" s="229"/>
      <c r="BX111" s="230"/>
    </row>
    <row r="112" spans="1:111" s="17" customFormat="1" ht="15.75">
      <c r="A112" s="1">
        <v>105</v>
      </c>
      <c r="B112" s="1" t="s">
        <v>99</v>
      </c>
      <c r="C112" s="1">
        <v>405.9</v>
      </c>
      <c r="D112" s="1">
        <v>0</v>
      </c>
      <c r="E112" s="1">
        <f aca="true" t="shared" si="46" ref="E112:E119">C112+D112</f>
        <v>405.9</v>
      </c>
      <c r="F112" s="2">
        <v>13.01</v>
      </c>
      <c r="G112" s="2">
        <f t="shared" si="24"/>
        <v>5280.759</v>
      </c>
      <c r="H112" s="2">
        <f t="shared" si="25"/>
        <v>31684.554</v>
      </c>
      <c r="I112" s="2">
        <f t="shared" si="32"/>
        <v>13.01</v>
      </c>
      <c r="J112" s="2">
        <f t="shared" si="33"/>
        <v>5280.759</v>
      </c>
      <c r="K112" s="2">
        <f t="shared" si="26"/>
        <v>31684.554</v>
      </c>
      <c r="L112" s="97">
        <f t="shared" si="27"/>
        <v>63369.108</v>
      </c>
      <c r="M112" s="109">
        <v>3.92</v>
      </c>
      <c r="N112" s="89">
        <f t="shared" si="34"/>
        <v>19093.536</v>
      </c>
      <c r="O112" s="64">
        <v>1.46</v>
      </c>
      <c r="P112" s="90">
        <f t="shared" si="35"/>
        <v>7111.367999999999</v>
      </c>
      <c r="Q112" s="64"/>
      <c r="R112" s="90">
        <f t="shared" si="36"/>
        <v>0</v>
      </c>
      <c r="S112" s="64"/>
      <c r="T112" s="91">
        <f t="shared" si="37"/>
        <v>0</v>
      </c>
      <c r="U112" s="64">
        <v>0.85</v>
      </c>
      <c r="V112" s="90">
        <f t="shared" si="38"/>
        <v>4140.18</v>
      </c>
      <c r="W112" s="96"/>
      <c r="X112" s="91">
        <f t="shared" si="39"/>
        <v>0</v>
      </c>
      <c r="Y112" s="110">
        <f t="shared" si="43"/>
        <v>30345.084</v>
      </c>
      <c r="Z112" s="32"/>
      <c r="AA112" s="12">
        <f t="shared" si="40"/>
        <v>0</v>
      </c>
      <c r="AB112" s="25">
        <f t="shared" si="41"/>
        <v>63369.108</v>
      </c>
      <c r="AC112" s="44"/>
      <c r="AD112" s="8">
        <f t="shared" si="28"/>
        <v>63369.108</v>
      </c>
      <c r="AE112" s="167">
        <v>13248.576000000001</v>
      </c>
      <c r="AF112" s="168">
        <v>0</v>
      </c>
      <c r="AG112" s="168">
        <v>5280.759</v>
      </c>
      <c r="AH112" s="168">
        <v>0</v>
      </c>
      <c r="AI112" s="168">
        <v>63369.108</v>
      </c>
      <c r="AJ112" s="58" t="s">
        <v>296</v>
      </c>
      <c r="AK112" s="59"/>
      <c r="AL112" s="45">
        <v>0</v>
      </c>
      <c r="AM112" s="45">
        <v>1562.61</v>
      </c>
      <c r="AN112" s="2">
        <v>0</v>
      </c>
      <c r="AO112" s="2">
        <v>28708.11</v>
      </c>
      <c r="AP112" s="1">
        <v>0</v>
      </c>
      <c r="AQ112" s="1">
        <v>11688.83</v>
      </c>
      <c r="AR112" s="24">
        <v>0</v>
      </c>
      <c r="AS112" s="24">
        <v>1806.61</v>
      </c>
      <c r="AT112" s="1">
        <v>0</v>
      </c>
      <c r="AU112" s="1">
        <v>4064.93</v>
      </c>
      <c r="AV112" s="24">
        <v>0</v>
      </c>
      <c r="AW112" s="24">
        <v>1108.11</v>
      </c>
      <c r="AX112" s="45">
        <v>0</v>
      </c>
      <c r="AY112" s="45">
        <v>3439.32</v>
      </c>
      <c r="AZ112" s="24">
        <v>0</v>
      </c>
      <c r="BA112" s="24">
        <v>1108.11</v>
      </c>
      <c r="BB112" s="24">
        <v>0</v>
      </c>
      <c r="BC112" s="24">
        <v>2054.69</v>
      </c>
      <c r="BD112" s="24">
        <v>0</v>
      </c>
      <c r="BE112" s="24">
        <v>1108.11</v>
      </c>
      <c r="BF112" s="24">
        <v>0</v>
      </c>
      <c r="BG112" s="24">
        <v>3325.27</v>
      </c>
      <c r="BH112" s="24">
        <v>0</v>
      </c>
      <c r="BI112" s="24">
        <v>1108.11</v>
      </c>
      <c r="BJ112" s="9">
        <f t="shared" si="29"/>
        <v>0</v>
      </c>
      <c r="BK112" s="9">
        <f t="shared" si="30"/>
        <v>61082.810000000005</v>
      </c>
      <c r="BL112" s="153">
        <f t="shared" si="31"/>
        <v>61082.810000000005</v>
      </c>
      <c r="BM112" s="154"/>
      <c r="BN112" s="154"/>
      <c r="BO112" s="154"/>
      <c r="BP112" s="154"/>
      <c r="BQ112" s="154"/>
      <c r="BR112" s="155">
        <f t="shared" si="44"/>
        <v>61082.810000000005</v>
      </c>
      <c r="BS112" s="154">
        <f>1168.99+1188.15</f>
        <v>2357.1400000000003</v>
      </c>
      <c r="BT112" s="199">
        <v>4128</v>
      </c>
      <c r="BU112" s="20">
        <f t="shared" si="42"/>
        <v>4643.437999999996</v>
      </c>
      <c r="BV112" s="231">
        <v>355946.17</v>
      </c>
      <c r="BW112" s="229"/>
      <c r="BX112" s="230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</row>
    <row r="113" spans="1:76" ht="15.75">
      <c r="A113" s="1">
        <v>106</v>
      </c>
      <c r="B113" s="1" t="s">
        <v>100</v>
      </c>
      <c r="C113" s="1">
        <v>411.1</v>
      </c>
      <c r="D113" s="1">
        <v>0</v>
      </c>
      <c r="E113" s="1">
        <f t="shared" si="46"/>
        <v>411.1</v>
      </c>
      <c r="F113" s="2">
        <v>13.01</v>
      </c>
      <c r="G113" s="2">
        <f t="shared" si="24"/>
        <v>5348.411</v>
      </c>
      <c r="H113" s="2">
        <f t="shared" si="25"/>
        <v>32090.466</v>
      </c>
      <c r="I113" s="2">
        <f t="shared" si="32"/>
        <v>13.01</v>
      </c>
      <c r="J113" s="2">
        <f t="shared" si="33"/>
        <v>5348.411</v>
      </c>
      <c r="K113" s="2">
        <f t="shared" si="26"/>
        <v>32090.466</v>
      </c>
      <c r="L113" s="97">
        <f t="shared" si="27"/>
        <v>64180.932</v>
      </c>
      <c r="M113" s="109">
        <v>3.92</v>
      </c>
      <c r="N113" s="89">
        <f t="shared" si="34"/>
        <v>19338.144</v>
      </c>
      <c r="O113" s="64">
        <v>1.46</v>
      </c>
      <c r="P113" s="90">
        <f t="shared" si="35"/>
        <v>7202.472</v>
      </c>
      <c r="Q113" s="64"/>
      <c r="R113" s="90">
        <f t="shared" si="36"/>
        <v>0</v>
      </c>
      <c r="S113" s="64"/>
      <c r="T113" s="91">
        <f t="shared" si="37"/>
        <v>0</v>
      </c>
      <c r="U113" s="64">
        <v>0</v>
      </c>
      <c r="V113" s="90">
        <f t="shared" si="38"/>
        <v>0</v>
      </c>
      <c r="W113" s="96"/>
      <c r="X113" s="91">
        <f t="shared" si="39"/>
        <v>0</v>
      </c>
      <c r="Y113" s="110">
        <f t="shared" si="43"/>
        <v>26540.616</v>
      </c>
      <c r="Z113" s="32">
        <v>-258497.83</v>
      </c>
      <c r="AA113" s="12">
        <f t="shared" si="40"/>
        <v>-4.0276421975299455</v>
      </c>
      <c r="AB113" s="25">
        <f t="shared" si="41"/>
        <v>-194316.898</v>
      </c>
      <c r="AC113" s="44"/>
      <c r="AD113" s="8">
        <f t="shared" si="28"/>
        <v>-194316.898</v>
      </c>
      <c r="AE113" s="167">
        <v>13418.304000000004</v>
      </c>
      <c r="AF113" s="168">
        <v>0</v>
      </c>
      <c r="AG113" s="168">
        <v>1118.1920000000002</v>
      </c>
      <c r="AH113" s="168">
        <v>0</v>
      </c>
      <c r="AI113" s="168">
        <v>13418.304000000004</v>
      </c>
      <c r="AJ113" s="59" t="s">
        <v>296</v>
      </c>
      <c r="AK113" s="26" t="s">
        <v>352</v>
      </c>
      <c r="AL113" s="45">
        <v>0</v>
      </c>
      <c r="AM113" s="45">
        <v>2940.27</v>
      </c>
      <c r="AN113" s="2">
        <v>0</v>
      </c>
      <c r="AO113" s="2">
        <v>1122.3</v>
      </c>
      <c r="AP113" s="1">
        <v>0</v>
      </c>
      <c r="AQ113" s="1">
        <v>11703.02</v>
      </c>
      <c r="AR113" s="24">
        <v>0</v>
      </c>
      <c r="AS113" s="24">
        <v>1820.8</v>
      </c>
      <c r="AT113" s="1">
        <v>0</v>
      </c>
      <c r="AU113" s="1">
        <v>40275.24</v>
      </c>
      <c r="AV113" s="24">
        <v>0</v>
      </c>
      <c r="AW113" s="24">
        <v>1122.3</v>
      </c>
      <c r="AX113" s="45">
        <v>0</v>
      </c>
      <c r="AY113" s="45">
        <v>3453.51</v>
      </c>
      <c r="AZ113" s="24">
        <v>0</v>
      </c>
      <c r="BA113" s="24">
        <v>1122.3</v>
      </c>
      <c r="BB113" s="24">
        <v>0</v>
      </c>
      <c r="BC113" s="24">
        <v>1122.3</v>
      </c>
      <c r="BD113" s="24">
        <v>0</v>
      </c>
      <c r="BE113" s="24">
        <v>1122.3</v>
      </c>
      <c r="BF113" s="24">
        <v>0</v>
      </c>
      <c r="BG113" s="24">
        <v>3339.46</v>
      </c>
      <c r="BH113" s="24">
        <v>0</v>
      </c>
      <c r="BI113" s="24">
        <v>1122.3</v>
      </c>
      <c r="BJ113" s="9">
        <f t="shared" si="29"/>
        <v>0</v>
      </c>
      <c r="BK113" s="9">
        <f t="shared" si="30"/>
        <v>70266.10000000002</v>
      </c>
      <c r="BL113" s="153">
        <f t="shared" si="31"/>
        <v>70266.10000000002</v>
      </c>
      <c r="BM113" s="154"/>
      <c r="BN113" s="154">
        <v>15421.96</v>
      </c>
      <c r="BO113" s="154"/>
      <c r="BP113" s="154"/>
      <c r="BQ113" s="154"/>
      <c r="BR113" s="155">
        <f t="shared" si="44"/>
        <v>85688.06000000003</v>
      </c>
      <c r="BS113" s="154">
        <f>1183.97+1200.12</f>
        <v>2384.09</v>
      </c>
      <c r="BT113" s="199"/>
      <c r="BU113" s="20">
        <f t="shared" si="42"/>
        <v>-277620.86799999996</v>
      </c>
      <c r="BV113" s="231">
        <v>691391.75</v>
      </c>
      <c r="BW113" s="229"/>
      <c r="BX113" s="230"/>
    </row>
    <row r="114" spans="1:76" ht="15.75">
      <c r="A114" s="1">
        <v>107</v>
      </c>
      <c r="B114" s="1" t="s">
        <v>101</v>
      </c>
      <c r="C114" s="1">
        <v>396.8</v>
      </c>
      <c r="D114" s="1">
        <v>0</v>
      </c>
      <c r="E114" s="1">
        <f t="shared" si="46"/>
        <v>396.8</v>
      </c>
      <c r="F114" s="2">
        <v>10.58</v>
      </c>
      <c r="G114" s="2">
        <f t="shared" si="24"/>
        <v>4198.144</v>
      </c>
      <c r="H114" s="2">
        <f t="shared" si="25"/>
        <v>25188.864</v>
      </c>
      <c r="I114" s="2">
        <f t="shared" si="32"/>
        <v>10.58</v>
      </c>
      <c r="J114" s="2">
        <f t="shared" si="33"/>
        <v>4198.144</v>
      </c>
      <c r="K114" s="2">
        <f t="shared" si="26"/>
        <v>25188.864</v>
      </c>
      <c r="L114" s="97">
        <f t="shared" si="27"/>
        <v>50377.728</v>
      </c>
      <c r="M114" s="109">
        <v>3.92</v>
      </c>
      <c r="N114" s="89">
        <f t="shared" si="34"/>
        <v>18665.471999999998</v>
      </c>
      <c r="O114" s="64"/>
      <c r="P114" s="90">
        <f t="shared" si="35"/>
        <v>0</v>
      </c>
      <c r="Q114" s="64">
        <v>0.52</v>
      </c>
      <c r="R114" s="90">
        <f t="shared" si="36"/>
        <v>2476.032</v>
      </c>
      <c r="S114" s="64">
        <v>0.89</v>
      </c>
      <c r="T114" s="91">
        <f t="shared" si="37"/>
        <v>4237.8240000000005</v>
      </c>
      <c r="U114" s="64">
        <v>0.87</v>
      </c>
      <c r="V114" s="90">
        <f t="shared" si="38"/>
        <v>4142.592000000001</v>
      </c>
      <c r="W114" s="96"/>
      <c r="X114" s="91">
        <f t="shared" si="39"/>
        <v>0</v>
      </c>
      <c r="Y114" s="110">
        <f t="shared" si="43"/>
        <v>29521.92</v>
      </c>
      <c r="Z114" s="32"/>
      <c r="AA114" s="12">
        <f t="shared" si="40"/>
        <v>0</v>
      </c>
      <c r="AB114" s="25">
        <f t="shared" si="41"/>
        <v>50377.728</v>
      </c>
      <c r="AC114" s="44"/>
      <c r="AD114" s="8">
        <f t="shared" si="28"/>
        <v>50377.728</v>
      </c>
      <c r="AE114" s="167">
        <v>15711.552</v>
      </c>
      <c r="AF114" s="168">
        <v>0</v>
      </c>
      <c r="AG114" s="168">
        <v>4198.144</v>
      </c>
      <c r="AH114" s="168">
        <v>0</v>
      </c>
      <c r="AI114" s="168">
        <v>50377.728</v>
      </c>
      <c r="AJ114" s="59" t="s">
        <v>296</v>
      </c>
      <c r="AK114" s="59"/>
      <c r="AL114" s="45">
        <v>0</v>
      </c>
      <c r="AM114" s="45">
        <v>2901.23</v>
      </c>
      <c r="AN114" s="2">
        <v>0</v>
      </c>
      <c r="AO114" s="2">
        <v>1083.26</v>
      </c>
      <c r="AP114" s="1">
        <v>0</v>
      </c>
      <c r="AQ114" s="1">
        <v>11663.98</v>
      </c>
      <c r="AR114" s="24">
        <v>0</v>
      </c>
      <c r="AS114" s="24">
        <v>1781.76</v>
      </c>
      <c r="AT114" s="1">
        <v>0</v>
      </c>
      <c r="AU114" s="1">
        <v>4915.92</v>
      </c>
      <c r="AV114" s="24">
        <v>0</v>
      </c>
      <c r="AW114" s="24">
        <v>4888.93</v>
      </c>
      <c r="AX114" s="45">
        <v>0</v>
      </c>
      <c r="AY114" s="45">
        <v>6534.12</v>
      </c>
      <c r="AZ114" s="24">
        <v>0</v>
      </c>
      <c r="BA114" s="24">
        <v>1083.26</v>
      </c>
      <c r="BB114" s="24">
        <v>0</v>
      </c>
      <c r="BC114" s="24">
        <v>1083.26</v>
      </c>
      <c r="BD114" s="24">
        <v>0</v>
      </c>
      <c r="BE114" s="24">
        <v>1083.26</v>
      </c>
      <c r="BF114" s="24">
        <v>0</v>
      </c>
      <c r="BG114" s="24">
        <v>5626.07</v>
      </c>
      <c r="BH114" s="24">
        <v>0</v>
      </c>
      <c r="BI114" s="24">
        <v>4065.84</v>
      </c>
      <c r="BJ114" s="9">
        <f t="shared" si="29"/>
        <v>0</v>
      </c>
      <c r="BK114" s="9">
        <f t="shared" si="30"/>
        <v>46710.890000000014</v>
      </c>
      <c r="BL114" s="153">
        <f t="shared" si="31"/>
        <v>46710.890000000014</v>
      </c>
      <c r="BM114" s="154"/>
      <c r="BN114" s="154">
        <v>2503.4</v>
      </c>
      <c r="BO114" s="154">
        <v>308.71</v>
      </c>
      <c r="BP114" s="154"/>
      <c r="BQ114" s="154"/>
      <c r="BR114" s="155">
        <f t="shared" si="44"/>
        <v>49523.000000000015</v>
      </c>
      <c r="BS114" s="198"/>
      <c r="BT114" s="199">
        <v>4128</v>
      </c>
      <c r="BU114" s="20">
        <f t="shared" si="42"/>
        <v>854.7279999999882</v>
      </c>
      <c r="BV114" s="231">
        <v>255180.22</v>
      </c>
      <c r="BW114" s="229"/>
      <c r="BX114" s="230"/>
    </row>
    <row r="115" spans="1:76" ht="15.75" customHeight="1">
      <c r="A115" s="1">
        <v>108</v>
      </c>
      <c r="B115" s="1" t="s">
        <v>357</v>
      </c>
      <c r="C115" s="1">
        <v>400.6</v>
      </c>
      <c r="D115" s="1">
        <v>75.1</v>
      </c>
      <c r="E115" s="1">
        <f t="shared" si="46"/>
        <v>475.70000000000005</v>
      </c>
      <c r="F115" s="2">
        <v>9.71</v>
      </c>
      <c r="G115" s="2">
        <f t="shared" si="24"/>
        <v>4619.0470000000005</v>
      </c>
      <c r="H115" s="2">
        <f>(G115*3)+(J115*3)</f>
        <v>33522.579000000005</v>
      </c>
      <c r="I115" s="188">
        <v>13.78</v>
      </c>
      <c r="J115" s="2">
        <f t="shared" si="33"/>
        <v>6555.146000000001</v>
      </c>
      <c r="K115" s="2">
        <f t="shared" si="26"/>
        <v>39330.876000000004</v>
      </c>
      <c r="L115" s="97">
        <f t="shared" si="27"/>
        <v>72853.45500000002</v>
      </c>
      <c r="M115" s="109">
        <v>3.92</v>
      </c>
      <c r="N115" s="89">
        <f t="shared" si="34"/>
        <v>22376.928</v>
      </c>
      <c r="O115" s="64">
        <v>1.46</v>
      </c>
      <c r="P115" s="90">
        <f t="shared" si="35"/>
        <v>8334.264000000001</v>
      </c>
      <c r="Q115" s="64"/>
      <c r="R115" s="90">
        <f t="shared" si="36"/>
        <v>0</v>
      </c>
      <c r="S115" s="64"/>
      <c r="T115" s="91">
        <f t="shared" si="37"/>
        <v>0</v>
      </c>
      <c r="U115" s="64">
        <v>0</v>
      </c>
      <c r="V115" s="90">
        <f t="shared" si="38"/>
        <v>0</v>
      </c>
      <c r="W115" s="96"/>
      <c r="X115" s="91">
        <f t="shared" si="39"/>
        <v>0</v>
      </c>
      <c r="Y115" s="110">
        <f t="shared" si="43"/>
        <v>30711.192000000003</v>
      </c>
      <c r="Z115" s="32"/>
      <c r="AA115" s="12">
        <f t="shared" si="40"/>
        <v>0</v>
      </c>
      <c r="AB115" s="25">
        <f t="shared" si="41"/>
        <v>72853.45500000002</v>
      </c>
      <c r="AC115" s="44"/>
      <c r="AD115" s="8">
        <f t="shared" si="28"/>
        <v>72853.45500000002</v>
      </c>
      <c r="AE115" s="167">
        <v>15526.848</v>
      </c>
      <c r="AF115" s="168">
        <v>0</v>
      </c>
      <c r="AG115" s="168">
        <v>4619.0470000000005</v>
      </c>
      <c r="AH115" s="168">
        <v>0</v>
      </c>
      <c r="AI115" s="168">
        <v>55428.564000000006</v>
      </c>
      <c r="AJ115" s="59"/>
      <c r="AK115" s="59"/>
      <c r="AL115" s="45">
        <v>0</v>
      </c>
      <c r="AM115" s="45">
        <v>1298.66</v>
      </c>
      <c r="AN115" s="2">
        <v>0</v>
      </c>
      <c r="AO115" s="2">
        <v>1298.66</v>
      </c>
      <c r="AP115" s="1">
        <v>0</v>
      </c>
      <c r="AQ115" s="1">
        <v>1298.66</v>
      </c>
      <c r="AR115" s="24">
        <v>0</v>
      </c>
      <c r="AS115" s="24">
        <v>10019.17</v>
      </c>
      <c r="AT115" s="1">
        <v>0</v>
      </c>
      <c r="AU115" s="1">
        <v>2999.73</v>
      </c>
      <c r="AV115" s="24">
        <v>0</v>
      </c>
      <c r="AW115" s="24">
        <v>5166.65</v>
      </c>
      <c r="AX115" s="45">
        <v>0</v>
      </c>
      <c r="AY115" s="45">
        <v>5163.87</v>
      </c>
      <c r="AZ115" s="24">
        <v>0</v>
      </c>
      <c r="BA115" s="24">
        <v>4769.08</v>
      </c>
      <c r="BB115" s="24">
        <v>0</v>
      </c>
      <c r="BC115" s="24">
        <v>6336.76</v>
      </c>
      <c r="BD115" s="24">
        <v>0</v>
      </c>
      <c r="BE115" s="24">
        <v>7285.74</v>
      </c>
      <c r="BF115" s="24">
        <v>0</v>
      </c>
      <c r="BG115" s="24">
        <v>5174.32</v>
      </c>
      <c r="BH115" s="24">
        <v>0</v>
      </c>
      <c r="BI115" s="24">
        <v>4032.6</v>
      </c>
      <c r="BJ115" s="9">
        <f t="shared" si="29"/>
        <v>0</v>
      </c>
      <c r="BK115" s="9">
        <f t="shared" si="30"/>
        <v>54843.899999999994</v>
      </c>
      <c r="BL115" s="153">
        <f t="shared" si="31"/>
        <v>54843.899999999994</v>
      </c>
      <c r="BM115" s="154"/>
      <c r="BN115" s="154"/>
      <c r="BO115" s="154"/>
      <c r="BP115" s="154"/>
      <c r="BQ115" s="154"/>
      <c r="BR115" s="155">
        <f t="shared" si="44"/>
        <v>54843.899999999994</v>
      </c>
      <c r="BS115" s="198">
        <v>694.52</v>
      </c>
      <c r="BT115" s="199"/>
      <c r="BU115" s="20">
        <f t="shared" si="42"/>
        <v>18704.075000000023</v>
      </c>
      <c r="BV115" s="231">
        <v>163904.55</v>
      </c>
      <c r="BW115" s="229"/>
      <c r="BX115" s="230"/>
    </row>
    <row r="116" spans="1:76" ht="15.75">
      <c r="A116" s="1">
        <v>109</v>
      </c>
      <c r="B116" s="1" t="s">
        <v>102</v>
      </c>
      <c r="C116" s="1">
        <v>404.4</v>
      </c>
      <c r="D116" s="1">
        <v>0</v>
      </c>
      <c r="E116" s="1">
        <f t="shared" si="46"/>
        <v>404.4</v>
      </c>
      <c r="F116" s="2">
        <v>13.01</v>
      </c>
      <c r="G116" s="2">
        <f t="shared" si="24"/>
        <v>5261.244</v>
      </c>
      <c r="H116" s="2">
        <f t="shared" si="25"/>
        <v>31567.464</v>
      </c>
      <c r="I116" s="2">
        <f t="shared" si="32"/>
        <v>13.01</v>
      </c>
      <c r="J116" s="2">
        <f t="shared" si="33"/>
        <v>5261.244</v>
      </c>
      <c r="K116" s="2">
        <f t="shared" si="26"/>
        <v>31567.464</v>
      </c>
      <c r="L116" s="97">
        <f t="shared" si="27"/>
        <v>63134.928</v>
      </c>
      <c r="M116" s="109">
        <v>3.92</v>
      </c>
      <c r="N116" s="89">
        <f t="shared" si="34"/>
        <v>19022.976</v>
      </c>
      <c r="O116" s="64">
        <v>1.46</v>
      </c>
      <c r="P116" s="90">
        <f t="shared" si="35"/>
        <v>7085.088</v>
      </c>
      <c r="Q116" s="64"/>
      <c r="R116" s="90">
        <f t="shared" si="36"/>
        <v>0</v>
      </c>
      <c r="S116" s="64"/>
      <c r="T116" s="91">
        <f t="shared" si="37"/>
        <v>0</v>
      </c>
      <c r="U116" s="64">
        <v>0</v>
      </c>
      <c r="V116" s="90">
        <f t="shared" si="38"/>
        <v>0</v>
      </c>
      <c r="W116" s="96"/>
      <c r="X116" s="91">
        <f t="shared" si="39"/>
        <v>0</v>
      </c>
      <c r="Y116" s="110">
        <f t="shared" si="43"/>
        <v>26108.064</v>
      </c>
      <c r="Z116" s="32"/>
      <c r="AA116" s="12">
        <f t="shared" si="40"/>
        <v>0</v>
      </c>
      <c r="AB116" s="25">
        <f t="shared" si="41"/>
        <v>63134.928</v>
      </c>
      <c r="AC116" s="44"/>
      <c r="AD116" s="8">
        <f t="shared" si="28"/>
        <v>63134.928</v>
      </c>
      <c r="AE116" s="167">
        <v>26108.064</v>
      </c>
      <c r="AF116" s="168">
        <v>0</v>
      </c>
      <c r="AG116" s="168">
        <v>5261.244</v>
      </c>
      <c r="AH116" s="168">
        <v>0</v>
      </c>
      <c r="AI116" s="168">
        <v>63134.928</v>
      </c>
      <c r="AJ116" s="59"/>
      <c r="AK116" s="59"/>
      <c r="AL116" s="45">
        <v>0</v>
      </c>
      <c r="AM116" s="45">
        <v>3649.9</v>
      </c>
      <c r="AN116" s="2">
        <v>0</v>
      </c>
      <c r="AO116" s="2">
        <v>1831.93</v>
      </c>
      <c r="AP116" s="1">
        <v>0</v>
      </c>
      <c r="AQ116" s="1">
        <v>12412.65</v>
      </c>
      <c r="AR116" s="24">
        <v>0</v>
      </c>
      <c r="AS116" s="24">
        <v>2530.43</v>
      </c>
      <c r="AT116" s="1">
        <v>0</v>
      </c>
      <c r="AU116" s="1">
        <v>5705.97</v>
      </c>
      <c r="AV116" s="24">
        <v>0</v>
      </c>
      <c r="AW116" s="24">
        <v>2458.75</v>
      </c>
      <c r="AX116" s="45">
        <v>0</v>
      </c>
      <c r="AY116" s="45">
        <v>3538.75</v>
      </c>
      <c r="AZ116" s="24">
        <v>0</v>
      </c>
      <c r="BA116" s="24">
        <v>2458.75</v>
      </c>
      <c r="BB116" s="24">
        <v>0</v>
      </c>
      <c r="BC116" s="24">
        <v>3538.75</v>
      </c>
      <c r="BD116" s="24">
        <v>0</v>
      </c>
      <c r="BE116" s="24">
        <v>1831.93</v>
      </c>
      <c r="BF116" s="24">
        <v>0</v>
      </c>
      <c r="BG116" s="24">
        <v>4049.09</v>
      </c>
      <c r="BH116" s="24">
        <v>0</v>
      </c>
      <c r="BI116" s="24">
        <v>1831.93</v>
      </c>
      <c r="BJ116" s="9">
        <f t="shared" si="29"/>
        <v>0</v>
      </c>
      <c r="BK116" s="9">
        <f t="shared" si="30"/>
        <v>45838.83000000001</v>
      </c>
      <c r="BL116" s="153">
        <f t="shared" si="31"/>
        <v>45838.83000000001</v>
      </c>
      <c r="BM116" s="154"/>
      <c r="BN116" s="154"/>
      <c r="BO116" s="154"/>
      <c r="BP116" s="154"/>
      <c r="BQ116" s="154"/>
      <c r="BR116" s="155">
        <f t="shared" si="44"/>
        <v>45838.83000000001</v>
      </c>
      <c r="BS116" s="154">
        <f>1164.67+1180.85</f>
        <v>2345.52</v>
      </c>
      <c r="BT116" s="199"/>
      <c r="BU116" s="20">
        <f t="shared" si="42"/>
        <v>19641.61799999999</v>
      </c>
      <c r="BV116" s="231">
        <v>354039.97</v>
      </c>
      <c r="BW116" s="229"/>
      <c r="BX116" s="230"/>
    </row>
    <row r="117" spans="1:111" s="17" customFormat="1" ht="15.75">
      <c r="A117" s="1">
        <v>110</v>
      </c>
      <c r="B117" s="1" t="s">
        <v>103</v>
      </c>
      <c r="C117" s="1">
        <v>657.6</v>
      </c>
      <c r="D117" s="1">
        <v>0</v>
      </c>
      <c r="E117" s="1">
        <f t="shared" si="46"/>
        <v>657.6</v>
      </c>
      <c r="F117" s="2">
        <v>11.43</v>
      </c>
      <c r="G117" s="2">
        <f t="shared" si="24"/>
        <v>7516.368</v>
      </c>
      <c r="H117" s="2">
        <f t="shared" si="25"/>
        <v>45098.208</v>
      </c>
      <c r="I117" s="2">
        <f t="shared" si="32"/>
        <v>11.43</v>
      </c>
      <c r="J117" s="2">
        <f t="shared" si="33"/>
        <v>7516.368</v>
      </c>
      <c r="K117" s="2">
        <f t="shared" si="26"/>
        <v>45098.208</v>
      </c>
      <c r="L117" s="97">
        <f t="shared" si="27"/>
        <v>90196.416</v>
      </c>
      <c r="M117" s="109">
        <v>3.92</v>
      </c>
      <c r="N117" s="89">
        <f t="shared" si="34"/>
        <v>30933.504</v>
      </c>
      <c r="O117" s="64">
        <v>1.46</v>
      </c>
      <c r="P117" s="90">
        <f t="shared" si="35"/>
        <v>11521.152</v>
      </c>
      <c r="Q117" s="64"/>
      <c r="R117" s="90">
        <f t="shared" si="36"/>
        <v>0</v>
      </c>
      <c r="S117" s="64"/>
      <c r="T117" s="91">
        <f t="shared" si="37"/>
        <v>0</v>
      </c>
      <c r="U117" s="64">
        <v>0.52</v>
      </c>
      <c r="V117" s="90">
        <f t="shared" si="38"/>
        <v>4103.424</v>
      </c>
      <c r="W117" s="96"/>
      <c r="X117" s="91">
        <f t="shared" si="39"/>
        <v>0</v>
      </c>
      <c r="Y117" s="110">
        <f t="shared" si="43"/>
        <v>46558.08</v>
      </c>
      <c r="Z117" s="32"/>
      <c r="AA117" s="12">
        <f t="shared" si="40"/>
        <v>0</v>
      </c>
      <c r="AB117" s="25">
        <f t="shared" si="41"/>
        <v>90196.416</v>
      </c>
      <c r="AC117" s="44"/>
      <c r="AD117" s="8">
        <f t="shared" si="28"/>
        <v>90196.416</v>
      </c>
      <c r="AE117" s="167">
        <v>24224.064000000002</v>
      </c>
      <c r="AF117" s="168">
        <v>2113.9784999999997</v>
      </c>
      <c r="AG117" s="168">
        <v>5402.3895</v>
      </c>
      <c r="AH117" s="168">
        <v>25367.742</v>
      </c>
      <c r="AI117" s="168">
        <v>64828.674</v>
      </c>
      <c r="AJ117" s="59" t="s">
        <v>299</v>
      </c>
      <c r="AK117" s="59"/>
      <c r="AL117" s="45">
        <v>0</v>
      </c>
      <c r="AM117" s="45">
        <v>2025.25</v>
      </c>
      <c r="AN117" s="2">
        <v>0</v>
      </c>
      <c r="AO117" s="2">
        <v>2025.25</v>
      </c>
      <c r="AP117" s="1">
        <v>0</v>
      </c>
      <c r="AQ117" s="1">
        <v>2152.07</v>
      </c>
      <c r="AR117" s="24">
        <v>0</v>
      </c>
      <c r="AS117" s="24">
        <v>2723.75</v>
      </c>
      <c r="AT117" s="1">
        <v>0</v>
      </c>
      <c r="AU117" s="1">
        <v>4440.77</v>
      </c>
      <c r="AV117" s="24">
        <v>0</v>
      </c>
      <c r="AW117" s="24">
        <v>2025.25</v>
      </c>
      <c r="AX117" s="45">
        <v>777.26</v>
      </c>
      <c r="AY117" s="45">
        <v>2025.25</v>
      </c>
      <c r="AZ117" s="24">
        <v>0</v>
      </c>
      <c r="BA117" s="24">
        <v>2025.25</v>
      </c>
      <c r="BB117" s="24">
        <v>0</v>
      </c>
      <c r="BC117" s="24">
        <v>2025.25</v>
      </c>
      <c r="BD117" s="24">
        <v>0</v>
      </c>
      <c r="BE117" s="24">
        <v>2025.25</v>
      </c>
      <c r="BF117" s="24">
        <v>0</v>
      </c>
      <c r="BG117" s="24">
        <v>2851.25</v>
      </c>
      <c r="BH117" s="24">
        <v>0</v>
      </c>
      <c r="BI117" s="24">
        <v>2025.25</v>
      </c>
      <c r="BJ117" s="9">
        <f t="shared" si="29"/>
        <v>777.26</v>
      </c>
      <c r="BK117" s="9">
        <f t="shared" si="30"/>
        <v>28369.84</v>
      </c>
      <c r="BL117" s="153">
        <f t="shared" si="31"/>
        <v>29147.1</v>
      </c>
      <c r="BM117" s="154"/>
      <c r="BN117" s="154"/>
      <c r="BO117" s="154"/>
      <c r="BP117" s="154"/>
      <c r="BQ117" s="154"/>
      <c r="BR117" s="155">
        <f t="shared" si="44"/>
        <v>29147.1</v>
      </c>
      <c r="BS117" s="198">
        <v>1920.19</v>
      </c>
      <c r="BT117" s="199">
        <v>4128</v>
      </c>
      <c r="BU117" s="20">
        <f t="shared" si="42"/>
        <v>62969.506</v>
      </c>
      <c r="BV117" s="231">
        <v>263556.69</v>
      </c>
      <c r="BW117" s="229"/>
      <c r="BX117" s="230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</row>
    <row r="118" spans="1:76" ht="15.75">
      <c r="A118" s="1">
        <v>111</v>
      </c>
      <c r="B118" s="1" t="s">
        <v>104</v>
      </c>
      <c r="C118" s="1">
        <v>655.8</v>
      </c>
      <c r="D118" s="1">
        <v>0</v>
      </c>
      <c r="E118" s="1">
        <f t="shared" si="46"/>
        <v>655.8</v>
      </c>
      <c r="F118" s="2">
        <v>15.92</v>
      </c>
      <c r="G118" s="2">
        <f t="shared" si="24"/>
        <v>10440.336</v>
      </c>
      <c r="H118" s="2">
        <f t="shared" si="25"/>
        <v>62642.015999999996</v>
      </c>
      <c r="I118" s="2">
        <f t="shared" si="32"/>
        <v>15.92</v>
      </c>
      <c r="J118" s="2">
        <f t="shared" si="33"/>
        <v>10440.336</v>
      </c>
      <c r="K118" s="2">
        <f t="shared" si="26"/>
        <v>62642.015999999996</v>
      </c>
      <c r="L118" s="97">
        <f t="shared" si="27"/>
        <v>125284.03199999999</v>
      </c>
      <c r="M118" s="109">
        <v>3.92</v>
      </c>
      <c r="N118" s="89">
        <f t="shared" si="34"/>
        <v>30848.832</v>
      </c>
      <c r="O118" s="64">
        <v>1.46</v>
      </c>
      <c r="P118" s="90">
        <f t="shared" si="35"/>
        <v>11489.616</v>
      </c>
      <c r="Q118" s="64"/>
      <c r="R118" s="90">
        <f t="shared" si="36"/>
        <v>0</v>
      </c>
      <c r="S118" s="64"/>
      <c r="T118" s="91">
        <f t="shared" si="37"/>
        <v>0</v>
      </c>
      <c r="U118" s="64">
        <v>0.52</v>
      </c>
      <c r="V118" s="90">
        <f t="shared" si="38"/>
        <v>4092.1919999999996</v>
      </c>
      <c r="W118" s="96"/>
      <c r="X118" s="91">
        <f t="shared" si="39"/>
        <v>0</v>
      </c>
      <c r="Y118" s="110">
        <f t="shared" si="43"/>
        <v>46430.64</v>
      </c>
      <c r="Z118" s="32"/>
      <c r="AA118" s="12">
        <f t="shared" si="40"/>
        <v>0</v>
      </c>
      <c r="AB118" s="25">
        <f t="shared" si="41"/>
        <v>125284.03199999999</v>
      </c>
      <c r="AC118" s="44"/>
      <c r="AD118" s="8">
        <f t="shared" si="28"/>
        <v>125284.03199999999</v>
      </c>
      <c r="AE118" s="167">
        <v>45098.448</v>
      </c>
      <c r="AF118" s="168">
        <v>5929.258879445338</v>
      </c>
      <c r="AG118" s="168">
        <v>4511.077120554662</v>
      </c>
      <c r="AH118" s="168">
        <v>71151.10655334406</v>
      </c>
      <c r="AI118" s="168">
        <v>54132.925446655936</v>
      </c>
      <c r="AJ118" s="59"/>
      <c r="AK118" s="59"/>
      <c r="AL118" s="45">
        <v>5030.82</v>
      </c>
      <c r="AM118" s="45">
        <v>2020.33</v>
      </c>
      <c r="AN118" s="2">
        <v>1278.81</v>
      </c>
      <c r="AO118" s="2">
        <v>2020.33</v>
      </c>
      <c r="AP118" s="1">
        <v>1278.81</v>
      </c>
      <c r="AQ118" s="1">
        <v>2020.33</v>
      </c>
      <c r="AR118" s="24">
        <v>1278.81</v>
      </c>
      <c r="AS118" s="24">
        <v>3296.33</v>
      </c>
      <c r="AT118" s="1">
        <v>2721.57</v>
      </c>
      <c r="AU118" s="1">
        <v>4435.85</v>
      </c>
      <c r="AV118" s="24">
        <v>4646.57</v>
      </c>
      <c r="AW118" s="24">
        <v>26874.31</v>
      </c>
      <c r="AX118" s="45">
        <v>2721.57</v>
      </c>
      <c r="AY118" s="45">
        <v>2020.33</v>
      </c>
      <c r="AZ118" s="24">
        <v>2721.57</v>
      </c>
      <c r="BA118" s="24">
        <v>2020.33</v>
      </c>
      <c r="BB118" s="24">
        <v>2721.57</v>
      </c>
      <c r="BC118" s="24">
        <v>3520.33</v>
      </c>
      <c r="BD118" s="24">
        <v>1278.81</v>
      </c>
      <c r="BE118" s="24">
        <v>5039.73</v>
      </c>
      <c r="BF118" s="24">
        <v>3283.99</v>
      </c>
      <c r="BG118" s="24">
        <v>2020.33</v>
      </c>
      <c r="BH118" s="24">
        <v>1278.81</v>
      </c>
      <c r="BI118" s="24">
        <v>2020.33</v>
      </c>
      <c r="BJ118" s="9">
        <f t="shared" si="29"/>
        <v>30241.710000000003</v>
      </c>
      <c r="BK118" s="9">
        <f t="shared" si="30"/>
        <v>57308.860000000015</v>
      </c>
      <c r="BL118" s="153">
        <f t="shared" si="31"/>
        <v>87550.57000000002</v>
      </c>
      <c r="BM118" s="154"/>
      <c r="BN118" s="154"/>
      <c r="BO118" s="154"/>
      <c r="BP118" s="154"/>
      <c r="BQ118" s="154"/>
      <c r="BR118" s="155">
        <f t="shared" si="44"/>
        <v>87550.57000000002</v>
      </c>
      <c r="BS118" s="198">
        <v>1436.2</v>
      </c>
      <c r="BT118" s="199"/>
      <c r="BU118" s="20">
        <f t="shared" si="42"/>
        <v>39169.66199999997</v>
      </c>
      <c r="BV118" s="231">
        <v>110588.08</v>
      </c>
      <c r="BW118" s="229"/>
      <c r="BX118" s="230"/>
    </row>
    <row r="119" spans="1:76" ht="15.75" customHeight="1">
      <c r="A119" s="1">
        <v>112</v>
      </c>
      <c r="B119" s="1" t="s">
        <v>105</v>
      </c>
      <c r="C119" s="1">
        <v>2003.8</v>
      </c>
      <c r="D119" s="1">
        <v>0</v>
      </c>
      <c r="E119" s="1">
        <f t="shared" si="46"/>
        <v>2003.8</v>
      </c>
      <c r="F119" s="2">
        <v>12.85</v>
      </c>
      <c r="G119" s="2">
        <f aca="true" t="shared" si="47" ref="G119:G154">E119*F119</f>
        <v>25748.829999999998</v>
      </c>
      <c r="H119" s="2">
        <f t="shared" si="25"/>
        <v>154492.97999999998</v>
      </c>
      <c r="I119" s="2">
        <f t="shared" si="32"/>
        <v>12.85</v>
      </c>
      <c r="J119" s="2">
        <f t="shared" si="33"/>
        <v>25748.829999999998</v>
      </c>
      <c r="K119" s="2">
        <f t="shared" si="26"/>
        <v>154492.97999999998</v>
      </c>
      <c r="L119" s="97">
        <f t="shared" si="27"/>
        <v>308985.95999999996</v>
      </c>
      <c r="M119" s="109">
        <v>3.92</v>
      </c>
      <c r="N119" s="89">
        <f t="shared" si="34"/>
        <v>94258.752</v>
      </c>
      <c r="O119" s="64">
        <v>1.46</v>
      </c>
      <c r="P119" s="90">
        <f t="shared" si="35"/>
        <v>35106.576</v>
      </c>
      <c r="Q119" s="64"/>
      <c r="R119" s="90">
        <f t="shared" si="36"/>
        <v>0</v>
      </c>
      <c r="S119" s="64"/>
      <c r="T119" s="91">
        <f t="shared" si="37"/>
        <v>0</v>
      </c>
      <c r="U119" s="64">
        <v>0.17</v>
      </c>
      <c r="V119" s="90">
        <f t="shared" si="38"/>
        <v>4087.7520000000004</v>
      </c>
      <c r="W119" s="96"/>
      <c r="X119" s="91">
        <f t="shared" si="39"/>
        <v>0</v>
      </c>
      <c r="Y119" s="110">
        <f t="shared" si="43"/>
        <v>133453.08</v>
      </c>
      <c r="Z119" s="32">
        <v>-107874.6</v>
      </c>
      <c r="AA119" s="12">
        <f t="shared" si="40"/>
        <v>-0.3491246010012883</v>
      </c>
      <c r="AB119" s="25">
        <f t="shared" si="41"/>
        <v>201111.35999999996</v>
      </c>
      <c r="AC119" s="44"/>
      <c r="AD119" s="8">
        <f t="shared" si="28"/>
        <v>201111.35999999996</v>
      </c>
      <c r="AE119" s="167">
        <v>68164.032</v>
      </c>
      <c r="AF119" s="168">
        <v>7086.750048224864</v>
      </c>
      <c r="AG119" s="168">
        <v>9672.529951775132</v>
      </c>
      <c r="AH119" s="168">
        <v>85041.00057869837</v>
      </c>
      <c r="AI119" s="168">
        <v>116070.35942130159</v>
      </c>
      <c r="AJ119" s="59" t="s">
        <v>299</v>
      </c>
      <c r="AK119" s="59"/>
      <c r="AL119" s="45">
        <v>6253.35</v>
      </c>
      <c r="AM119" s="45">
        <v>5700.37</v>
      </c>
      <c r="AN119" s="2">
        <v>2160</v>
      </c>
      <c r="AO119" s="2">
        <v>11302.96</v>
      </c>
      <c r="AP119" s="1">
        <v>4580.42</v>
      </c>
      <c r="AQ119" s="1">
        <v>9811.72</v>
      </c>
      <c r="AR119" s="24">
        <v>6362.3</v>
      </c>
      <c r="AS119" s="24">
        <v>12271.81</v>
      </c>
      <c r="AT119" s="1">
        <v>305</v>
      </c>
      <c r="AU119" s="1">
        <v>8115.89</v>
      </c>
      <c r="AV119" s="24">
        <v>4305</v>
      </c>
      <c r="AW119" s="24">
        <v>16280.37</v>
      </c>
      <c r="AX119" s="45">
        <v>0</v>
      </c>
      <c r="AY119" s="45">
        <v>48613.43</v>
      </c>
      <c r="AZ119" s="24">
        <v>0</v>
      </c>
      <c r="BA119" s="24">
        <v>5700.37</v>
      </c>
      <c r="BB119" s="24">
        <v>3410.55</v>
      </c>
      <c r="BC119" s="24">
        <v>26696.67</v>
      </c>
      <c r="BD119" s="24">
        <v>438.75</v>
      </c>
      <c r="BE119" s="24">
        <v>11798.15</v>
      </c>
      <c r="BF119" s="24">
        <v>2005.18</v>
      </c>
      <c r="BG119" s="24">
        <v>10326.12</v>
      </c>
      <c r="BH119" s="24">
        <v>0</v>
      </c>
      <c r="BI119" s="24">
        <v>5700.37</v>
      </c>
      <c r="BJ119" s="9">
        <f t="shared" si="29"/>
        <v>29820.55</v>
      </c>
      <c r="BK119" s="9">
        <f t="shared" si="30"/>
        <v>172318.22999999995</v>
      </c>
      <c r="BL119" s="153">
        <f t="shared" si="31"/>
        <v>202138.77999999994</v>
      </c>
      <c r="BM119" s="154"/>
      <c r="BN119" s="154"/>
      <c r="BO119" s="154"/>
      <c r="BP119" s="154"/>
      <c r="BQ119" s="154"/>
      <c r="BR119" s="155">
        <f t="shared" si="44"/>
        <v>202138.77999999994</v>
      </c>
      <c r="BS119" s="198">
        <v>4388.54</v>
      </c>
      <c r="BT119" s="199">
        <v>4128</v>
      </c>
      <c r="BU119" s="20">
        <f t="shared" si="42"/>
        <v>3361.1200000000163</v>
      </c>
      <c r="BV119" s="231">
        <v>184758.34</v>
      </c>
      <c r="BW119" s="229"/>
      <c r="BX119" s="230"/>
    </row>
    <row r="120" spans="1:76" ht="15.75" customHeight="1">
      <c r="A120" s="1">
        <v>113</v>
      </c>
      <c r="B120" s="1" t="s">
        <v>106</v>
      </c>
      <c r="C120" s="1">
        <v>502.3</v>
      </c>
      <c r="D120" s="1">
        <v>0</v>
      </c>
      <c r="E120" s="1">
        <f>C120+D120</f>
        <v>502.3</v>
      </c>
      <c r="F120" s="2">
        <v>9.94</v>
      </c>
      <c r="G120" s="2">
        <f t="shared" si="47"/>
        <v>4992.862</v>
      </c>
      <c r="H120" s="2">
        <f aca="true" t="shared" si="48" ref="H120:H170">G120*6</f>
        <v>29957.172</v>
      </c>
      <c r="I120" s="2">
        <f t="shared" si="32"/>
        <v>9.94</v>
      </c>
      <c r="J120" s="2">
        <f t="shared" si="33"/>
        <v>4992.862</v>
      </c>
      <c r="K120" s="2">
        <f aca="true" t="shared" si="49" ref="K120:K170">J120*6</f>
        <v>29957.172</v>
      </c>
      <c r="L120" s="97">
        <f aca="true" t="shared" si="50" ref="L120:L171">H120+K120</f>
        <v>59914.344</v>
      </c>
      <c r="M120" s="109">
        <v>3.92</v>
      </c>
      <c r="N120" s="89">
        <f t="shared" si="34"/>
        <v>23628.192000000003</v>
      </c>
      <c r="O120" s="64"/>
      <c r="P120" s="90">
        <f t="shared" si="35"/>
        <v>0</v>
      </c>
      <c r="Q120" s="64"/>
      <c r="R120" s="90">
        <f t="shared" si="36"/>
        <v>0</v>
      </c>
      <c r="S120" s="64"/>
      <c r="T120" s="91">
        <f t="shared" si="37"/>
        <v>0</v>
      </c>
      <c r="U120" s="64">
        <v>0</v>
      </c>
      <c r="V120" s="90">
        <f t="shared" si="38"/>
        <v>0</v>
      </c>
      <c r="W120" s="96">
        <v>5.76</v>
      </c>
      <c r="X120" s="91">
        <f t="shared" si="39"/>
        <v>34718.976</v>
      </c>
      <c r="Y120" s="110">
        <f t="shared" si="43"/>
        <v>58347.168000000005</v>
      </c>
      <c r="Z120" s="32"/>
      <c r="AA120" s="12">
        <f t="shared" si="40"/>
        <v>0</v>
      </c>
      <c r="AB120" s="25">
        <f t="shared" si="41"/>
        <v>59914.344</v>
      </c>
      <c r="AC120" s="44"/>
      <c r="AD120" s="8">
        <f aca="true" t="shared" si="51" ref="AD120:AD170">AB120-AC120</f>
        <v>59914.344</v>
      </c>
      <c r="AE120" s="167">
        <v>16395.072</v>
      </c>
      <c r="AF120" s="168">
        <v>2489.3614364761665</v>
      </c>
      <c r="AG120" s="168">
        <v>2503.5005635238335</v>
      </c>
      <c r="AH120" s="168">
        <v>29872.337237713997</v>
      </c>
      <c r="AI120" s="168">
        <v>30042.006762286</v>
      </c>
      <c r="AJ120" s="59" t="s">
        <v>299</v>
      </c>
      <c r="AK120" s="59"/>
      <c r="AL120" s="45">
        <v>0</v>
      </c>
      <c r="AM120" s="45">
        <v>1371.28</v>
      </c>
      <c r="AN120" s="2">
        <v>0</v>
      </c>
      <c r="AO120" s="2">
        <v>1371.28</v>
      </c>
      <c r="AP120" s="1">
        <v>0</v>
      </c>
      <c r="AQ120" s="1">
        <v>1371.28</v>
      </c>
      <c r="AR120" s="24">
        <v>0</v>
      </c>
      <c r="AS120" s="24">
        <v>2069.78</v>
      </c>
      <c r="AT120" s="1">
        <v>0</v>
      </c>
      <c r="AU120" s="1">
        <v>1371.28</v>
      </c>
      <c r="AV120" s="24">
        <v>0</v>
      </c>
      <c r="AW120" s="24">
        <v>1371.28</v>
      </c>
      <c r="AX120" s="45">
        <v>0</v>
      </c>
      <c r="AY120" s="45">
        <v>1371.28</v>
      </c>
      <c r="AZ120" s="24">
        <v>0</v>
      </c>
      <c r="BA120" s="24">
        <v>1371.28</v>
      </c>
      <c r="BB120" s="24">
        <v>0</v>
      </c>
      <c r="BC120" s="24">
        <v>1371.28</v>
      </c>
      <c r="BD120" s="24">
        <v>0</v>
      </c>
      <c r="BE120" s="24">
        <v>1371.28</v>
      </c>
      <c r="BF120" s="24">
        <v>0</v>
      </c>
      <c r="BG120" s="24">
        <v>2197.28</v>
      </c>
      <c r="BH120" s="24">
        <v>0</v>
      </c>
      <c r="BI120" s="24">
        <v>1371.28</v>
      </c>
      <c r="BJ120" s="9">
        <f aca="true" t="shared" si="52" ref="BJ120:BJ170">AL120+AN120+AP120+AR120+AT120+AV120+AX120+AZ120+BB120+BD120+BF120+BH120</f>
        <v>0</v>
      </c>
      <c r="BK120" s="9">
        <f aca="true" t="shared" si="53" ref="BK120:BK170">AM120+AO120+AQ120+AS120+AU120+AW120+AY120+BA120+BC120+BE120+BG120+BI120</f>
        <v>17979.86</v>
      </c>
      <c r="BL120" s="153">
        <f aca="true" t="shared" si="54" ref="BL120:BL170">BJ120+BK120</f>
        <v>17979.86</v>
      </c>
      <c r="BM120" s="154"/>
      <c r="BN120" s="154"/>
      <c r="BO120" s="154"/>
      <c r="BP120" s="154"/>
      <c r="BQ120" s="154"/>
      <c r="BR120" s="155">
        <f t="shared" si="44"/>
        <v>17979.86</v>
      </c>
      <c r="BS120" s="198"/>
      <c r="BT120" s="199"/>
      <c r="BU120" s="20">
        <f t="shared" si="42"/>
        <v>41934.484</v>
      </c>
      <c r="BV120" s="231">
        <v>129175.76</v>
      </c>
      <c r="BW120" s="229"/>
      <c r="BX120" s="230"/>
    </row>
    <row r="121" spans="1:76" ht="15.75" customHeight="1">
      <c r="A121" s="1">
        <v>114</v>
      </c>
      <c r="B121" s="1" t="s">
        <v>107</v>
      </c>
      <c r="C121" s="1">
        <v>3300.1</v>
      </c>
      <c r="D121" s="1">
        <v>342</v>
      </c>
      <c r="E121" s="1">
        <f>C121+D121</f>
        <v>3642.1</v>
      </c>
      <c r="F121" s="2">
        <v>14.75</v>
      </c>
      <c r="G121" s="2">
        <f t="shared" si="47"/>
        <v>53720.975</v>
      </c>
      <c r="H121" s="2">
        <f t="shared" si="48"/>
        <v>322325.85</v>
      </c>
      <c r="I121" s="2">
        <f t="shared" si="32"/>
        <v>14.75</v>
      </c>
      <c r="J121" s="2">
        <f t="shared" si="33"/>
        <v>53720.975</v>
      </c>
      <c r="K121" s="2">
        <f t="shared" si="49"/>
        <v>322325.85</v>
      </c>
      <c r="L121" s="97">
        <f t="shared" si="50"/>
        <v>644651.7</v>
      </c>
      <c r="M121" s="109">
        <v>3.92</v>
      </c>
      <c r="N121" s="89">
        <f t="shared" si="34"/>
        <v>171324.384</v>
      </c>
      <c r="O121" s="64">
        <v>1.46</v>
      </c>
      <c r="P121" s="90">
        <f t="shared" si="35"/>
        <v>63809.59199999999</v>
      </c>
      <c r="Q121" s="64"/>
      <c r="R121" s="90">
        <f t="shared" si="36"/>
        <v>0</v>
      </c>
      <c r="S121" s="64"/>
      <c r="T121" s="91">
        <f t="shared" si="37"/>
        <v>0</v>
      </c>
      <c r="U121" s="64">
        <v>0.41</v>
      </c>
      <c r="V121" s="90">
        <f t="shared" si="38"/>
        <v>17919.131999999998</v>
      </c>
      <c r="W121" s="96"/>
      <c r="X121" s="91">
        <f t="shared" si="39"/>
        <v>0</v>
      </c>
      <c r="Y121" s="110">
        <f t="shared" si="43"/>
        <v>253053.10799999995</v>
      </c>
      <c r="Z121" s="32">
        <v>-169716.46</v>
      </c>
      <c r="AA121" s="12">
        <f t="shared" si="40"/>
        <v>-0.263268459541796</v>
      </c>
      <c r="AB121" s="25">
        <f t="shared" si="41"/>
        <v>474935.24</v>
      </c>
      <c r="AC121" s="166"/>
      <c r="AD121" s="8">
        <f t="shared" si="51"/>
        <v>474935.24</v>
      </c>
      <c r="AE121" s="167">
        <v>240653.976</v>
      </c>
      <c r="AF121" s="168">
        <v>19151.81781025645</v>
      </c>
      <c r="AG121" s="168">
        <v>14592.785523076886</v>
      </c>
      <c r="AH121" s="168">
        <v>229821.8137230774</v>
      </c>
      <c r="AI121" s="168">
        <v>175113.42627692263</v>
      </c>
      <c r="AJ121" s="59"/>
      <c r="AK121" s="59"/>
      <c r="AL121" s="45">
        <v>57452.55</v>
      </c>
      <c r="AM121" s="45">
        <v>11122.93</v>
      </c>
      <c r="AN121" s="2">
        <v>8957.17</v>
      </c>
      <c r="AO121" s="2">
        <v>35674.59</v>
      </c>
      <c r="AP121" s="1">
        <v>6555.78</v>
      </c>
      <c r="AQ121" s="1">
        <v>10402.93</v>
      </c>
      <c r="AR121" s="24">
        <v>6555.78</v>
      </c>
      <c r="AS121" s="24">
        <v>11678.93</v>
      </c>
      <c r="AT121" s="1">
        <v>38620.33</v>
      </c>
      <c r="AU121" s="1">
        <v>40479</v>
      </c>
      <c r="AV121" s="24">
        <v>12369.04</v>
      </c>
      <c r="AW121" s="24">
        <v>11923.81</v>
      </c>
      <c r="AX121" s="45">
        <v>12201.04</v>
      </c>
      <c r="AY121" s="45">
        <v>21909.82</v>
      </c>
      <c r="AZ121" s="24">
        <v>12201.04</v>
      </c>
      <c r="BA121" s="24">
        <v>11902.93</v>
      </c>
      <c r="BB121" s="24">
        <v>12201.04</v>
      </c>
      <c r="BC121" s="24">
        <v>11008.52</v>
      </c>
      <c r="BD121" s="24">
        <v>-18385.34</v>
      </c>
      <c r="BE121" s="24">
        <v>18528.9</v>
      </c>
      <c r="BF121" s="24">
        <v>11007.46</v>
      </c>
      <c r="BG121" s="24">
        <v>14930.33</v>
      </c>
      <c r="BH121" s="24">
        <v>10490.16</v>
      </c>
      <c r="BI121" s="24">
        <v>10402.93</v>
      </c>
      <c r="BJ121" s="9">
        <f t="shared" si="52"/>
        <v>170226.05000000002</v>
      </c>
      <c r="BK121" s="9">
        <f t="shared" si="53"/>
        <v>209965.61999999997</v>
      </c>
      <c r="BL121" s="153">
        <f t="shared" si="54"/>
        <v>380191.67</v>
      </c>
      <c r="BM121" s="154">
        <v>6649</v>
      </c>
      <c r="BN121" s="154">
        <v>70122.98</v>
      </c>
      <c r="BO121" s="154"/>
      <c r="BP121" s="154"/>
      <c r="BQ121" s="154"/>
      <c r="BR121" s="155">
        <f t="shared" si="44"/>
        <v>456963.64999999997</v>
      </c>
      <c r="BS121" s="198">
        <v>2663.84</v>
      </c>
      <c r="BT121" s="199">
        <v>4128</v>
      </c>
      <c r="BU121" s="20">
        <f t="shared" si="42"/>
        <v>20635.430000000026</v>
      </c>
      <c r="BV121" s="231">
        <v>153845</v>
      </c>
      <c r="BW121" s="229"/>
      <c r="BX121" s="230"/>
    </row>
    <row r="122" spans="1:76" s="6" customFormat="1" ht="15.75" customHeight="1">
      <c r="A122" s="1">
        <v>115</v>
      </c>
      <c r="B122" s="1" t="s">
        <v>323</v>
      </c>
      <c r="C122" s="1">
        <v>4948.1</v>
      </c>
      <c r="D122" s="1">
        <v>0</v>
      </c>
      <c r="E122" s="1">
        <f>C122+D122</f>
        <v>4948.1</v>
      </c>
      <c r="F122" s="2">
        <v>14.75</v>
      </c>
      <c r="G122" s="2">
        <f>E122*F122</f>
        <v>72984.475</v>
      </c>
      <c r="H122" s="2">
        <f t="shared" si="48"/>
        <v>437906.85000000003</v>
      </c>
      <c r="I122" s="2">
        <f t="shared" si="32"/>
        <v>14.75</v>
      </c>
      <c r="J122" s="2">
        <f t="shared" si="33"/>
        <v>72984.475</v>
      </c>
      <c r="K122" s="2">
        <f t="shared" si="49"/>
        <v>437906.85000000003</v>
      </c>
      <c r="L122" s="97">
        <f t="shared" si="50"/>
        <v>875813.7000000001</v>
      </c>
      <c r="M122" s="109">
        <v>3.92</v>
      </c>
      <c r="N122" s="89">
        <f t="shared" si="34"/>
        <v>232758.624</v>
      </c>
      <c r="O122" s="64">
        <v>1.46</v>
      </c>
      <c r="P122" s="90">
        <f t="shared" si="35"/>
        <v>86690.712</v>
      </c>
      <c r="Q122" s="64"/>
      <c r="R122" s="90">
        <f t="shared" si="36"/>
        <v>0</v>
      </c>
      <c r="S122" s="64"/>
      <c r="T122" s="91">
        <f t="shared" si="37"/>
        <v>0</v>
      </c>
      <c r="U122" s="64"/>
      <c r="V122" s="90">
        <f t="shared" si="38"/>
        <v>0</v>
      </c>
      <c r="W122" s="96"/>
      <c r="X122" s="91">
        <f t="shared" si="39"/>
        <v>0</v>
      </c>
      <c r="Y122" s="110">
        <f t="shared" si="43"/>
        <v>319449.336</v>
      </c>
      <c r="Z122" s="32"/>
      <c r="AA122" s="12">
        <f t="shared" si="40"/>
        <v>0</v>
      </c>
      <c r="AB122" s="25">
        <f t="shared" si="41"/>
        <v>875813.7000000001</v>
      </c>
      <c r="AC122" s="44"/>
      <c r="AD122" s="8">
        <f>AB122-AC122</f>
        <v>875813.7000000001</v>
      </c>
      <c r="AE122" s="167">
        <v>324969.33600000007</v>
      </c>
      <c r="AF122" s="168">
        <v>0</v>
      </c>
      <c r="AG122" s="168">
        <v>72984.475</v>
      </c>
      <c r="AH122" s="168">
        <v>0</v>
      </c>
      <c r="AI122" s="168">
        <v>875813.7000000001</v>
      </c>
      <c r="AJ122" s="59"/>
      <c r="AK122" s="59"/>
      <c r="AL122" s="45">
        <v>0</v>
      </c>
      <c r="AM122" s="45">
        <v>83143.79</v>
      </c>
      <c r="AN122" s="2">
        <v>0</v>
      </c>
      <c r="AO122" s="2">
        <v>52668.57</v>
      </c>
      <c r="AP122" s="1">
        <v>0</v>
      </c>
      <c r="AQ122" s="1">
        <v>27469.73</v>
      </c>
      <c r="AR122" s="24">
        <v>0</v>
      </c>
      <c r="AS122" s="24">
        <v>26930.89</v>
      </c>
      <c r="AT122" s="1">
        <v>0</v>
      </c>
      <c r="AU122" s="1">
        <v>48011.85</v>
      </c>
      <c r="AV122" s="24">
        <v>0</v>
      </c>
      <c r="AW122" s="24">
        <v>32936.95</v>
      </c>
      <c r="AX122" s="45">
        <v>0</v>
      </c>
      <c r="AY122" s="45">
        <v>32244.45</v>
      </c>
      <c r="AZ122" s="24">
        <v>0</v>
      </c>
      <c r="BA122" s="24">
        <v>33111.38</v>
      </c>
      <c r="BB122" s="24">
        <v>0</v>
      </c>
      <c r="BC122" s="24">
        <v>37221.59</v>
      </c>
      <c r="BD122" s="24">
        <v>0</v>
      </c>
      <c r="BE122" s="24">
        <v>34697.21</v>
      </c>
      <c r="BF122" s="24">
        <v>0</v>
      </c>
      <c r="BG122" s="24">
        <v>47992.91</v>
      </c>
      <c r="BH122" s="24">
        <v>0</v>
      </c>
      <c r="BI122" s="24">
        <v>78132.59</v>
      </c>
      <c r="BJ122" s="9">
        <f>AL122+AN122+AP122+AR122+AT122+AV122+AX122+AZ122+BB122+BD122+BF122+BH122</f>
        <v>0</v>
      </c>
      <c r="BK122" s="9">
        <f>AM122+AO122+AQ122+AS122+AU122+AW122+AY122+BA122+BC122+BE122+BG122+BI122</f>
        <v>534561.9099999999</v>
      </c>
      <c r="BL122" s="153">
        <f>BJ122+BK122</f>
        <v>534561.9099999999</v>
      </c>
      <c r="BM122" s="154"/>
      <c r="BN122" s="154"/>
      <c r="BO122" s="154"/>
      <c r="BP122" s="154"/>
      <c r="BQ122" s="154"/>
      <c r="BR122" s="155">
        <f t="shared" si="44"/>
        <v>534561.9099999999</v>
      </c>
      <c r="BS122" s="198">
        <v>7224.23</v>
      </c>
      <c r="BT122" s="199"/>
      <c r="BU122" s="20">
        <f t="shared" si="42"/>
        <v>348476.02000000014</v>
      </c>
      <c r="BV122" s="231">
        <v>322977.05</v>
      </c>
      <c r="BW122" s="229"/>
      <c r="BX122" s="230"/>
    </row>
    <row r="123" spans="1:76" ht="15.75" customHeight="1">
      <c r="A123" s="1">
        <v>116</v>
      </c>
      <c r="B123" s="1" t="s">
        <v>108</v>
      </c>
      <c r="C123" s="1">
        <v>462.6</v>
      </c>
      <c r="D123" s="1">
        <v>0</v>
      </c>
      <c r="E123" s="1">
        <f aca="true" t="shared" si="55" ref="E123:E164">C123+D123</f>
        <v>462.6</v>
      </c>
      <c r="F123" s="2">
        <v>8.94</v>
      </c>
      <c r="G123" s="2">
        <f t="shared" si="47"/>
        <v>4135.644</v>
      </c>
      <c r="H123" s="2">
        <f t="shared" si="48"/>
        <v>24813.864</v>
      </c>
      <c r="I123" s="2">
        <f t="shared" si="32"/>
        <v>8.94</v>
      </c>
      <c r="J123" s="2">
        <f t="shared" si="33"/>
        <v>4135.644</v>
      </c>
      <c r="K123" s="2">
        <f t="shared" si="49"/>
        <v>24813.864</v>
      </c>
      <c r="L123" s="97">
        <f t="shared" si="50"/>
        <v>49627.728</v>
      </c>
      <c r="M123" s="109">
        <v>3.92</v>
      </c>
      <c r="N123" s="89">
        <f t="shared" si="34"/>
        <v>21760.704</v>
      </c>
      <c r="O123" s="64"/>
      <c r="P123" s="90">
        <f t="shared" si="35"/>
        <v>0</v>
      </c>
      <c r="Q123" s="64"/>
      <c r="R123" s="90">
        <f t="shared" si="36"/>
        <v>0</v>
      </c>
      <c r="S123" s="64"/>
      <c r="T123" s="91">
        <f t="shared" si="37"/>
        <v>0</v>
      </c>
      <c r="U123" s="64">
        <v>0</v>
      </c>
      <c r="V123" s="90">
        <f t="shared" si="38"/>
        <v>0</v>
      </c>
      <c r="W123" s="96"/>
      <c r="X123" s="91">
        <f t="shared" si="39"/>
        <v>0</v>
      </c>
      <c r="Y123" s="110">
        <f t="shared" si="43"/>
        <v>21760.704</v>
      </c>
      <c r="Z123" s="32"/>
      <c r="AA123" s="12">
        <f t="shared" si="40"/>
        <v>0</v>
      </c>
      <c r="AB123" s="25">
        <f t="shared" si="41"/>
        <v>49627.728</v>
      </c>
      <c r="AC123" s="44"/>
      <c r="AD123" s="8">
        <f t="shared" si="51"/>
        <v>49627.728</v>
      </c>
      <c r="AE123" s="167">
        <v>17859.264000000003</v>
      </c>
      <c r="AF123" s="168">
        <v>0</v>
      </c>
      <c r="AG123" s="168">
        <v>4135.644</v>
      </c>
      <c r="AH123" s="168">
        <v>0</v>
      </c>
      <c r="AI123" s="168">
        <v>49627.728</v>
      </c>
      <c r="AJ123" s="59" t="s">
        <v>299</v>
      </c>
      <c r="AK123" s="59"/>
      <c r="AL123" s="45">
        <v>0</v>
      </c>
      <c r="AM123" s="45">
        <v>1492.9</v>
      </c>
      <c r="AN123" s="2">
        <v>0</v>
      </c>
      <c r="AO123" s="2">
        <v>1492.9</v>
      </c>
      <c r="AP123" s="1">
        <v>0</v>
      </c>
      <c r="AQ123" s="1">
        <v>2528.7</v>
      </c>
      <c r="AR123" s="24">
        <v>0</v>
      </c>
      <c r="AS123" s="24">
        <v>2191.4</v>
      </c>
      <c r="AT123" s="1">
        <v>0</v>
      </c>
      <c r="AU123" s="1">
        <v>4861.65</v>
      </c>
      <c r="AV123" s="24">
        <v>0</v>
      </c>
      <c r="AW123" s="24">
        <v>1492.9</v>
      </c>
      <c r="AX123" s="45">
        <v>0</v>
      </c>
      <c r="AY123" s="45">
        <v>2140.9</v>
      </c>
      <c r="AZ123" s="24">
        <v>0</v>
      </c>
      <c r="BA123" s="24">
        <v>1492.9</v>
      </c>
      <c r="BB123" s="24">
        <v>0</v>
      </c>
      <c r="BC123" s="24">
        <v>1492.9</v>
      </c>
      <c r="BD123" s="24">
        <v>0</v>
      </c>
      <c r="BE123" s="24">
        <v>1492.9</v>
      </c>
      <c r="BF123" s="24">
        <v>0</v>
      </c>
      <c r="BG123" s="24">
        <v>3000.9</v>
      </c>
      <c r="BH123" s="24">
        <v>0</v>
      </c>
      <c r="BI123" s="24">
        <v>1492.9</v>
      </c>
      <c r="BJ123" s="9">
        <f t="shared" si="52"/>
        <v>0</v>
      </c>
      <c r="BK123" s="9">
        <f t="shared" si="53"/>
        <v>25173.850000000006</v>
      </c>
      <c r="BL123" s="153">
        <f t="shared" si="54"/>
        <v>25173.850000000006</v>
      </c>
      <c r="BM123" s="154"/>
      <c r="BN123" s="154"/>
      <c r="BO123" s="154"/>
      <c r="BP123" s="154"/>
      <c r="BQ123" s="154"/>
      <c r="BR123" s="155">
        <f t="shared" si="44"/>
        <v>25173.850000000006</v>
      </c>
      <c r="BS123" s="198"/>
      <c r="BT123" s="199"/>
      <c r="BU123" s="20">
        <f t="shared" si="42"/>
        <v>24453.877999999997</v>
      </c>
      <c r="BV123" s="231">
        <v>49445.11</v>
      </c>
      <c r="BW123" s="229"/>
      <c r="BX123" s="230"/>
    </row>
    <row r="124" spans="1:76" ht="15.75">
      <c r="A124" s="1">
        <v>117</v>
      </c>
      <c r="B124" s="1" t="s">
        <v>109</v>
      </c>
      <c r="C124" s="1">
        <v>465</v>
      </c>
      <c r="D124" s="1">
        <v>0</v>
      </c>
      <c r="E124" s="1">
        <f t="shared" si="55"/>
        <v>465</v>
      </c>
      <c r="F124" s="2">
        <v>10.36</v>
      </c>
      <c r="G124" s="2">
        <f t="shared" si="47"/>
        <v>4817.4</v>
      </c>
      <c r="H124" s="2">
        <f t="shared" si="48"/>
        <v>28904.399999999998</v>
      </c>
      <c r="I124" s="2">
        <f t="shared" si="32"/>
        <v>10.36</v>
      </c>
      <c r="J124" s="2">
        <f t="shared" si="33"/>
        <v>4817.4</v>
      </c>
      <c r="K124" s="2">
        <f t="shared" si="49"/>
        <v>28904.399999999998</v>
      </c>
      <c r="L124" s="97">
        <f t="shared" si="50"/>
        <v>57808.799999999996</v>
      </c>
      <c r="M124" s="109">
        <v>3.92</v>
      </c>
      <c r="N124" s="89">
        <f t="shared" si="34"/>
        <v>21873.6</v>
      </c>
      <c r="O124" s="64"/>
      <c r="P124" s="90">
        <f t="shared" si="35"/>
        <v>0</v>
      </c>
      <c r="Q124" s="64"/>
      <c r="R124" s="90">
        <f t="shared" si="36"/>
        <v>0</v>
      </c>
      <c r="S124" s="64"/>
      <c r="T124" s="91">
        <f t="shared" si="37"/>
        <v>0</v>
      </c>
      <c r="U124" s="64">
        <v>0</v>
      </c>
      <c r="V124" s="90">
        <f t="shared" si="38"/>
        <v>0</v>
      </c>
      <c r="W124" s="96"/>
      <c r="X124" s="91">
        <f t="shared" si="39"/>
        <v>0</v>
      </c>
      <c r="Y124" s="110">
        <f t="shared" si="43"/>
        <v>21873.6</v>
      </c>
      <c r="Z124" s="32">
        <v>-41773.45</v>
      </c>
      <c r="AA124" s="12">
        <f t="shared" si="40"/>
        <v>-0.722614031081773</v>
      </c>
      <c r="AB124" s="25">
        <f t="shared" si="41"/>
        <v>16035.349999999999</v>
      </c>
      <c r="AC124" s="44"/>
      <c r="AD124" s="8">
        <f t="shared" si="51"/>
        <v>16035.349999999999</v>
      </c>
      <c r="AE124" s="167">
        <v>17937.600000000002</v>
      </c>
      <c r="AF124" s="168">
        <v>0</v>
      </c>
      <c r="AG124" s="168">
        <v>1336.2791666666665</v>
      </c>
      <c r="AH124" s="168">
        <v>0</v>
      </c>
      <c r="AI124" s="168">
        <v>16035.349999999999</v>
      </c>
      <c r="AJ124" s="59" t="s">
        <v>299</v>
      </c>
      <c r="AK124" s="58"/>
      <c r="AL124" s="45">
        <v>0</v>
      </c>
      <c r="AM124" s="45">
        <v>3771.91</v>
      </c>
      <c r="AN124" s="2">
        <v>0</v>
      </c>
      <c r="AO124" s="2">
        <v>1499.45</v>
      </c>
      <c r="AP124" s="1">
        <v>0</v>
      </c>
      <c r="AQ124" s="1">
        <v>2535.25</v>
      </c>
      <c r="AR124" s="24">
        <v>0</v>
      </c>
      <c r="AS124" s="24">
        <v>2197.95</v>
      </c>
      <c r="AT124" s="1">
        <v>0</v>
      </c>
      <c r="AU124" s="1">
        <v>1499.45</v>
      </c>
      <c r="AV124" s="24">
        <v>0</v>
      </c>
      <c r="AW124" s="24">
        <v>1709.45</v>
      </c>
      <c r="AX124" s="45">
        <v>0</v>
      </c>
      <c r="AY124" s="45">
        <v>1499.45</v>
      </c>
      <c r="AZ124" s="24">
        <v>0</v>
      </c>
      <c r="BA124" s="24">
        <v>1499.45</v>
      </c>
      <c r="BB124" s="24">
        <v>0</v>
      </c>
      <c r="BC124" s="24">
        <v>1499.45</v>
      </c>
      <c r="BD124" s="24">
        <v>0</v>
      </c>
      <c r="BE124" s="24">
        <v>1499.45</v>
      </c>
      <c r="BF124" s="24">
        <v>0</v>
      </c>
      <c r="BG124" s="24">
        <v>3007.45</v>
      </c>
      <c r="BH124" s="24">
        <v>0</v>
      </c>
      <c r="BI124" s="24">
        <v>1499.45</v>
      </c>
      <c r="BJ124" s="9">
        <f t="shared" si="52"/>
        <v>0</v>
      </c>
      <c r="BK124" s="9">
        <f t="shared" si="53"/>
        <v>23718.160000000003</v>
      </c>
      <c r="BL124" s="153">
        <f t="shared" si="54"/>
        <v>23718.160000000003</v>
      </c>
      <c r="BM124" s="154"/>
      <c r="BN124" s="154"/>
      <c r="BO124" s="154"/>
      <c r="BP124" s="154">
        <v>1851.85</v>
      </c>
      <c r="BQ124" s="154"/>
      <c r="BR124" s="155">
        <f t="shared" si="44"/>
        <v>25570.010000000002</v>
      </c>
      <c r="BS124" s="198"/>
      <c r="BT124" s="199"/>
      <c r="BU124" s="20">
        <f t="shared" si="42"/>
        <v>-9534.660000000003</v>
      </c>
      <c r="BV124" s="231">
        <v>136943.11</v>
      </c>
      <c r="BW124" s="229"/>
      <c r="BX124" s="230"/>
    </row>
    <row r="125" spans="1:76" ht="15.75" customHeight="1">
      <c r="A125" s="1">
        <v>118</v>
      </c>
      <c r="B125" s="1" t="s">
        <v>261</v>
      </c>
      <c r="C125" s="1">
        <v>405</v>
      </c>
      <c r="D125" s="1">
        <v>0</v>
      </c>
      <c r="E125" s="1">
        <f t="shared" si="55"/>
        <v>405</v>
      </c>
      <c r="F125" s="2">
        <v>13.44</v>
      </c>
      <c r="G125" s="2">
        <f t="shared" si="47"/>
        <v>5443.2</v>
      </c>
      <c r="H125" s="2">
        <f t="shared" si="48"/>
        <v>32659.199999999997</v>
      </c>
      <c r="I125" s="2">
        <f aca="true" t="shared" si="56" ref="I125:I179">F125*1</f>
        <v>13.44</v>
      </c>
      <c r="J125" s="2">
        <f t="shared" si="33"/>
        <v>5443.2</v>
      </c>
      <c r="K125" s="2">
        <f t="shared" si="49"/>
        <v>32659.199999999997</v>
      </c>
      <c r="L125" s="97">
        <f t="shared" si="50"/>
        <v>65318.399999999994</v>
      </c>
      <c r="M125" s="109">
        <v>3.92</v>
      </c>
      <c r="N125" s="89">
        <f t="shared" si="34"/>
        <v>19051.199999999997</v>
      </c>
      <c r="O125" s="64"/>
      <c r="P125" s="90">
        <f t="shared" si="35"/>
        <v>0</v>
      </c>
      <c r="Q125" s="64"/>
      <c r="R125" s="90">
        <f t="shared" si="36"/>
        <v>0</v>
      </c>
      <c r="S125" s="64"/>
      <c r="T125" s="91">
        <f t="shared" si="37"/>
        <v>0</v>
      </c>
      <c r="U125" s="64">
        <v>0</v>
      </c>
      <c r="V125" s="90">
        <f t="shared" si="38"/>
        <v>0</v>
      </c>
      <c r="W125" s="96">
        <v>5.76</v>
      </c>
      <c r="X125" s="91">
        <f t="shared" si="39"/>
        <v>27993.6</v>
      </c>
      <c r="Y125" s="110">
        <f t="shared" si="43"/>
        <v>47044.799999999996</v>
      </c>
      <c r="Z125" s="32">
        <v>-6853.91</v>
      </c>
      <c r="AA125" s="12">
        <f t="shared" si="40"/>
        <v>-0.10493076989026064</v>
      </c>
      <c r="AB125" s="25">
        <f t="shared" si="41"/>
        <v>58464.48999999999</v>
      </c>
      <c r="AC125" s="44"/>
      <c r="AD125" s="8">
        <f t="shared" si="51"/>
        <v>58464.48999999999</v>
      </c>
      <c r="AE125" s="167">
        <v>13219.2</v>
      </c>
      <c r="AF125" s="168">
        <v>2848.4182465277772</v>
      </c>
      <c r="AG125" s="168">
        <v>2023.6225868055546</v>
      </c>
      <c r="AH125" s="168">
        <v>34181.01895833333</v>
      </c>
      <c r="AI125" s="168">
        <v>24283.471041666657</v>
      </c>
      <c r="AJ125" s="59" t="s">
        <v>296</v>
      </c>
      <c r="AK125" s="59"/>
      <c r="AL125" s="45">
        <v>2730.22</v>
      </c>
      <c r="AM125" s="45">
        <v>1105.65</v>
      </c>
      <c r="AN125" s="2">
        <v>0</v>
      </c>
      <c r="AO125" s="2">
        <v>1105.65</v>
      </c>
      <c r="AP125" s="1">
        <v>7544.92</v>
      </c>
      <c r="AQ125" s="1">
        <v>1105.65</v>
      </c>
      <c r="AR125" s="24">
        <v>0</v>
      </c>
      <c r="AS125" s="24">
        <v>1804.15</v>
      </c>
      <c r="AT125" s="1">
        <v>0</v>
      </c>
      <c r="AU125" s="1">
        <v>1105.65</v>
      </c>
      <c r="AV125" s="24">
        <v>0</v>
      </c>
      <c r="AW125" s="24">
        <v>1105.65</v>
      </c>
      <c r="AX125" s="45">
        <v>0</v>
      </c>
      <c r="AY125" s="45">
        <v>1105.65</v>
      </c>
      <c r="AZ125" s="24">
        <v>0</v>
      </c>
      <c r="BA125" s="24">
        <v>1105.65</v>
      </c>
      <c r="BB125" s="24">
        <v>0</v>
      </c>
      <c r="BC125" s="24">
        <v>1105.65</v>
      </c>
      <c r="BD125" s="24">
        <v>0</v>
      </c>
      <c r="BE125" s="24">
        <v>1105.65</v>
      </c>
      <c r="BF125" s="24">
        <v>2005.18</v>
      </c>
      <c r="BG125" s="24">
        <v>1931.65</v>
      </c>
      <c r="BH125" s="24">
        <v>0</v>
      </c>
      <c r="BI125" s="24">
        <v>1105.65</v>
      </c>
      <c r="BJ125" s="9">
        <f t="shared" si="52"/>
        <v>12280.32</v>
      </c>
      <c r="BK125" s="9">
        <f t="shared" si="53"/>
        <v>14792.299999999997</v>
      </c>
      <c r="BL125" s="153">
        <f t="shared" si="54"/>
        <v>27072.619999999995</v>
      </c>
      <c r="BM125" s="154"/>
      <c r="BN125" s="154"/>
      <c r="BO125" s="154"/>
      <c r="BP125" s="154"/>
      <c r="BQ125" s="154"/>
      <c r="BR125" s="155">
        <f t="shared" si="44"/>
        <v>27072.619999999995</v>
      </c>
      <c r="BS125" s="198"/>
      <c r="BT125" s="199"/>
      <c r="BU125" s="20">
        <f t="shared" si="42"/>
        <v>31391.869999999995</v>
      </c>
      <c r="BV125" s="231">
        <v>750012.2</v>
      </c>
      <c r="BW125" s="229"/>
      <c r="BX125" s="230"/>
    </row>
    <row r="126" spans="1:111" s="17" customFormat="1" ht="15.75">
      <c r="A126" s="1">
        <v>119</v>
      </c>
      <c r="B126" s="1" t="s">
        <v>110</v>
      </c>
      <c r="C126" s="1">
        <v>709.8</v>
      </c>
      <c r="D126" s="1">
        <v>0</v>
      </c>
      <c r="E126" s="1">
        <f t="shared" si="55"/>
        <v>709.8</v>
      </c>
      <c r="F126" s="2">
        <v>13.01</v>
      </c>
      <c r="G126" s="2">
        <f t="shared" si="47"/>
        <v>9234.498</v>
      </c>
      <c r="H126" s="2">
        <f t="shared" si="48"/>
        <v>55406.988</v>
      </c>
      <c r="I126" s="2">
        <f t="shared" si="56"/>
        <v>13.01</v>
      </c>
      <c r="J126" s="2">
        <f t="shared" si="33"/>
        <v>9234.498</v>
      </c>
      <c r="K126" s="2">
        <f t="shared" si="49"/>
        <v>55406.988</v>
      </c>
      <c r="L126" s="97">
        <f t="shared" si="50"/>
        <v>110813.976</v>
      </c>
      <c r="M126" s="109">
        <v>3.92</v>
      </c>
      <c r="N126" s="89">
        <f t="shared" si="34"/>
        <v>33388.992</v>
      </c>
      <c r="O126" s="64">
        <v>1.46</v>
      </c>
      <c r="P126" s="90">
        <f t="shared" si="35"/>
        <v>12435.696</v>
      </c>
      <c r="Q126" s="64"/>
      <c r="R126" s="90">
        <f t="shared" si="36"/>
        <v>0</v>
      </c>
      <c r="S126" s="64"/>
      <c r="T126" s="91">
        <f t="shared" si="37"/>
        <v>0</v>
      </c>
      <c r="U126" s="64">
        <v>0</v>
      </c>
      <c r="V126" s="90">
        <f t="shared" si="38"/>
        <v>0</v>
      </c>
      <c r="W126" s="96"/>
      <c r="X126" s="91">
        <f t="shared" si="39"/>
        <v>0</v>
      </c>
      <c r="Y126" s="110">
        <f t="shared" si="43"/>
        <v>45824.687999999995</v>
      </c>
      <c r="Z126" s="32">
        <v>-179015.96</v>
      </c>
      <c r="AA126" s="12">
        <f t="shared" si="40"/>
        <v>-1.6154637389781954</v>
      </c>
      <c r="AB126" s="25">
        <f t="shared" si="41"/>
        <v>-68201.984</v>
      </c>
      <c r="AC126" s="44"/>
      <c r="AD126" s="8">
        <f t="shared" si="51"/>
        <v>-68201.984</v>
      </c>
      <c r="AE126" s="167">
        <v>25927.872</v>
      </c>
      <c r="AF126" s="168">
        <v>1140.930372499394</v>
      </c>
      <c r="AG126" s="168">
        <v>1019.7256275006058</v>
      </c>
      <c r="AH126" s="168">
        <v>13691.16446999273</v>
      </c>
      <c r="AI126" s="168">
        <v>12236.70753000727</v>
      </c>
      <c r="AJ126" s="59" t="s">
        <v>296</v>
      </c>
      <c r="AK126" s="26" t="s">
        <v>352</v>
      </c>
      <c r="AL126" s="45">
        <v>2501.34</v>
      </c>
      <c r="AM126" s="45">
        <v>2167.75</v>
      </c>
      <c r="AN126" s="2">
        <v>0</v>
      </c>
      <c r="AO126" s="2">
        <v>4512.8</v>
      </c>
      <c r="AP126" s="1">
        <v>11723.6</v>
      </c>
      <c r="AQ126" s="1">
        <v>2437.75</v>
      </c>
      <c r="AR126" s="24">
        <v>0</v>
      </c>
      <c r="AS126" s="24">
        <v>2866.25</v>
      </c>
      <c r="AT126" s="1">
        <v>0</v>
      </c>
      <c r="AU126" s="1">
        <v>2167.75</v>
      </c>
      <c r="AV126" s="24">
        <v>0</v>
      </c>
      <c r="AW126" s="24">
        <v>2167.75</v>
      </c>
      <c r="AX126" s="45">
        <v>7705.01</v>
      </c>
      <c r="AY126" s="45">
        <v>2167.75</v>
      </c>
      <c r="AZ126" s="24">
        <v>0</v>
      </c>
      <c r="BA126" s="24">
        <v>2167.75</v>
      </c>
      <c r="BB126" s="24">
        <v>0</v>
      </c>
      <c r="BC126" s="24">
        <v>2167.75</v>
      </c>
      <c r="BD126" s="24">
        <v>47146.95</v>
      </c>
      <c r="BE126" s="24">
        <v>2167.75</v>
      </c>
      <c r="BF126" s="24">
        <v>7427.32</v>
      </c>
      <c r="BG126" s="24">
        <v>3855.75</v>
      </c>
      <c r="BH126" s="24">
        <v>2013.24</v>
      </c>
      <c r="BI126" s="24">
        <v>2167.75</v>
      </c>
      <c r="BJ126" s="9">
        <f t="shared" si="52"/>
        <v>78517.46</v>
      </c>
      <c r="BK126" s="9">
        <f t="shared" si="53"/>
        <v>31014.55</v>
      </c>
      <c r="BL126" s="153">
        <f t="shared" si="54"/>
        <v>109532.01000000001</v>
      </c>
      <c r="BM126" s="154"/>
      <c r="BN126" s="154"/>
      <c r="BO126" s="154"/>
      <c r="BP126" s="154"/>
      <c r="BQ126" s="154"/>
      <c r="BR126" s="155">
        <f t="shared" si="44"/>
        <v>109532.01000000001</v>
      </c>
      <c r="BS126" s="154">
        <f>2044.22+1554.46</f>
        <v>3598.6800000000003</v>
      </c>
      <c r="BT126" s="199"/>
      <c r="BU126" s="20">
        <f t="shared" si="42"/>
        <v>-174135.314</v>
      </c>
      <c r="BV126" s="231">
        <v>651823.98</v>
      </c>
      <c r="BW126" s="229"/>
      <c r="BX126" s="230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</row>
    <row r="127" spans="1:76" ht="15.75">
      <c r="A127" s="1">
        <v>120</v>
      </c>
      <c r="B127" s="1" t="s">
        <v>111</v>
      </c>
      <c r="C127" s="1">
        <v>5507.96</v>
      </c>
      <c r="D127" s="1">
        <v>48.7</v>
      </c>
      <c r="E127" s="1">
        <f t="shared" si="55"/>
        <v>5556.66</v>
      </c>
      <c r="F127" s="2">
        <v>15.87</v>
      </c>
      <c r="G127" s="2">
        <f t="shared" si="47"/>
        <v>88184.1942</v>
      </c>
      <c r="H127" s="2">
        <f t="shared" si="48"/>
        <v>529105.1651999999</v>
      </c>
      <c r="I127" s="2">
        <f t="shared" si="56"/>
        <v>15.87</v>
      </c>
      <c r="J127" s="2">
        <f t="shared" si="33"/>
        <v>88184.1942</v>
      </c>
      <c r="K127" s="2">
        <f t="shared" si="49"/>
        <v>529105.1651999999</v>
      </c>
      <c r="L127" s="97">
        <f t="shared" si="50"/>
        <v>1058210.3303999999</v>
      </c>
      <c r="M127" s="109">
        <v>3.92</v>
      </c>
      <c r="N127" s="89">
        <f t="shared" si="34"/>
        <v>261385.28639999998</v>
      </c>
      <c r="O127" s="64">
        <v>1.46</v>
      </c>
      <c r="P127" s="90">
        <f t="shared" si="35"/>
        <v>97352.6832</v>
      </c>
      <c r="Q127" s="64"/>
      <c r="R127" s="90">
        <f t="shared" si="36"/>
        <v>0</v>
      </c>
      <c r="S127" s="64"/>
      <c r="T127" s="91">
        <f t="shared" si="37"/>
        <v>0</v>
      </c>
      <c r="U127" s="64">
        <v>0.27</v>
      </c>
      <c r="V127" s="90">
        <f t="shared" si="38"/>
        <v>18003.5784</v>
      </c>
      <c r="W127" s="96"/>
      <c r="X127" s="91">
        <f t="shared" si="39"/>
        <v>0</v>
      </c>
      <c r="Y127" s="110">
        <f t="shared" si="43"/>
        <v>376741.54799999995</v>
      </c>
      <c r="Z127" s="32"/>
      <c r="AA127" s="12">
        <f t="shared" si="40"/>
        <v>0</v>
      </c>
      <c r="AB127" s="25">
        <f t="shared" si="41"/>
        <v>1058210.3303999999</v>
      </c>
      <c r="AC127" s="166"/>
      <c r="AD127" s="8">
        <f t="shared" si="51"/>
        <v>1058210.3303999999</v>
      </c>
      <c r="AE127" s="167">
        <v>364257.9696</v>
      </c>
      <c r="AF127" s="168">
        <v>49965.0073722719</v>
      </c>
      <c r="AG127" s="168">
        <v>38219.18682772808</v>
      </c>
      <c r="AH127" s="168">
        <v>599580.0884672628</v>
      </c>
      <c r="AI127" s="168">
        <v>458630.241932737</v>
      </c>
      <c r="AJ127" s="59"/>
      <c r="AK127" s="59"/>
      <c r="AL127" s="45">
        <v>94268.02</v>
      </c>
      <c r="AM127" s="45">
        <v>15629.68</v>
      </c>
      <c r="AN127" s="2">
        <v>7691.65</v>
      </c>
      <c r="AO127" s="2">
        <v>19306.75</v>
      </c>
      <c r="AP127" s="1">
        <v>20130.93</v>
      </c>
      <c r="AQ127" s="1">
        <v>70473.71</v>
      </c>
      <c r="AR127" s="24">
        <v>3037.5</v>
      </c>
      <c r="AS127" s="24">
        <v>25844.62</v>
      </c>
      <c r="AT127" s="1">
        <v>1055.76</v>
      </c>
      <c r="AU127" s="1">
        <v>18045.2</v>
      </c>
      <c r="AV127" s="24">
        <v>3020.5</v>
      </c>
      <c r="AW127" s="24">
        <v>16537.32</v>
      </c>
      <c r="AX127" s="45">
        <v>1470</v>
      </c>
      <c r="AY127" s="45">
        <v>36374.78</v>
      </c>
      <c r="AZ127" s="24">
        <v>978.8</v>
      </c>
      <c r="BA127" s="24">
        <v>31804.16</v>
      </c>
      <c r="BB127" s="24">
        <v>17964.91</v>
      </c>
      <c r="BC127" s="24">
        <v>39508.38</v>
      </c>
      <c r="BD127" s="24">
        <v>16148.5</v>
      </c>
      <c r="BE127" s="24">
        <v>32490.58</v>
      </c>
      <c r="BF127" s="24">
        <v>6792.25</v>
      </c>
      <c r="BG127" s="24">
        <v>22423.93</v>
      </c>
      <c r="BH127" s="24">
        <v>55084.6</v>
      </c>
      <c r="BI127" s="24">
        <v>25404.33</v>
      </c>
      <c r="BJ127" s="9">
        <f t="shared" si="52"/>
        <v>227643.42</v>
      </c>
      <c r="BK127" s="9">
        <f t="shared" si="53"/>
        <v>353843.44000000006</v>
      </c>
      <c r="BL127" s="153">
        <f t="shared" si="54"/>
        <v>581486.8600000001</v>
      </c>
      <c r="BM127" s="154">
        <v>61566.61</v>
      </c>
      <c r="BN127" s="154">
        <f>(129610.67-127342.58)+129607.46+116500+73224.34+127000</f>
        <v>448599.89</v>
      </c>
      <c r="BO127" s="154"/>
      <c r="BP127" s="154"/>
      <c r="BQ127" s="154"/>
      <c r="BR127" s="155">
        <f t="shared" si="44"/>
        <v>1091653.36</v>
      </c>
      <c r="BS127" s="198">
        <v>4057.97</v>
      </c>
      <c r="BT127" s="199">
        <v>4128</v>
      </c>
      <c r="BU127" s="20">
        <f t="shared" si="42"/>
        <v>-29385.05960000024</v>
      </c>
      <c r="BV127" s="231">
        <v>625746.52</v>
      </c>
      <c r="BW127" s="229"/>
      <c r="BX127" s="230"/>
    </row>
    <row r="128" spans="1:76" ht="15.75" customHeight="1">
      <c r="A128" s="1">
        <v>121</v>
      </c>
      <c r="B128" s="1" t="s">
        <v>112</v>
      </c>
      <c r="C128" s="1">
        <v>2730</v>
      </c>
      <c r="D128" s="1">
        <v>812.7</v>
      </c>
      <c r="E128" s="1">
        <f t="shared" si="55"/>
        <v>3542.7</v>
      </c>
      <c r="F128" s="2">
        <v>15.18</v>
      </c>
      <c r="G128" s="2">
        <f t="shared" si="47"/>
        <v>53778.185999999994</v>
      </c>
      <c r="H128" s="2">
        <f t="shared" si="48"/>
        <v>322669.116</v>
      </c>
      <c r="I128" s="2">
        <f t="shared" si="56"/>
        <v>15.18</v>
      </c>
      <c r="J128" s="2">
        <f t="shared" si="33"/>
        <v>53778.185999999994</v>
      </c>
      <c r="K128" s="2">
        <f t="shared" si="49"/>
        <v>322669.116</v>
      </c>
      <c r="L128" s="97">
        <f t="shared" si="50"/>
        <v>645338.232</v>
      </c>
      <c r="M128" s="109">
        <v>3.92</v>
      </c>
      <c r="N128" s="89">
        <f t="shared" si="34"/>
        <v>166648.60799999998</v>
      </c>
      <c r="O128" s="64">
        <v>1.46</v>
      </c>
      <c r="P128" s="90">
        <f t="shared" si="35"/>
        <v>62068.10399999999</v>
      </c>
      <c r="Q128" s="64"/>
      <c r="R128" s="90">
        <f t="shared" si="36"/>
        <v>0</v>
      </c>
      <c r="S128" s="64"/>
      <c r="T128" s="91">
        <f t="shared" si="37"/>
        <v>0</v>
      </c>
      <c r="U128" s="64">
        <v>0.43</v>
      </c>
      <c r="V128" s="90">
        <f t="shared" si="38"/>
        <v>18280.332</v>
      </c>
      <c r="W128" s="96"/>
      <c r="X128" s="91">
        <f t="shared" si="39"/>
        <v>0</v>
      </c>
      <c r="Y128" s="110">
        <f t="shared" si="43"/>
        <v>246997.04399999997</v>
      </c>
      <c r="Z128" s="32">
        <v>-450355.7</v>
      </c>
      <c r="AA128" s="12">
        <f t="shared" si="40"/>
        <v>-0.6978599402119415</v>
      </c>
      <c r="AB128" s="25">
        <f t="shared" si="41"/>
        <v>194982.53199999995</v>
      </c>
      <c r="AC128" s="44"/>
      <c r="AD128" s="8">
        <f t="shared" si="51"/>
        <v>194982.53199999995</v>
      </c>
      <c r="AE128" s="167">
        <v>231476.71200000003</v>
      </c>
      <c r="AF128" s="168">
        <v>9457.508170539435</v>
      </c>
      <c r="AG128" s="168">
        <v>6791.036162793894</v>
      </c>
      <c r="AH128" s="168">
        <v>113490.09804647323</v>
      </c>
      <c r="AI128" s="168">
        <v>81492.43395352672</v>
      </c>
      <c r="AJ128" s="59"/>
      <c r="AK128" s="59"/>
      <c r="AL128" s="45">
        <v>7754.15</v>
      </c>
      <c r="AM128" s="45">
        <v>9901.57</v>
      </c>
      <c r="AN128" s="2">
        <v>17767.07</v>
      </c>
      <c r="AO128" s="2">
        <v>12231.19</v>
      </c>
      <c r="AP128" s="1">
        <v>51513.36</v>
      </c>
      <c r="AQ128" s="1">
        <v>13862.69</v>
      </c>
      <c r="AR128" s="24">
        <v>7988.27</v>
      </c>
      <c r="AS128" s="24">
        <v>12047.68</v>
      </c>
      <c r="AT128" s="1">
        <v>17553.14</v>
      </c>
      <c r="AU128" s="1">
        <v>9901.57</v>
      </c>
      <c r="AV128" s="24">
        <v>22752.21</v>
      </c>
      <c r="AW128" s="24">
        <v>22644.73</v>
      </c>
      <c r="AX128" s="45">
        <v>18380.96</v>
      </c>
      <c r="AY128" s="45">
        <v>9901.57</v>
      </c>
      <c r="AZ128" s="24">
        <v>14702.21</v>
      </c>
      <c r="BA128" s="24">
        <v>17836.57</v>
      </c>
      <c r="BB128" s="24">
        <v>16059.21</v>
      </c>
      <c r="BC128" s="24">
        <v>14420.97</v>
      </c>
      <c r="BD128" s="24">
        <v>37784.82</v>
      </c>
      <c r="BE128" s="24">
        <v>17367.59</v>
      </c>
      <c r="BF128" s="24">
        <v>12262.64</v>
      </c>
      <c r="BG128" s="24">
        <v>9901.57</v>
      </c>
      <c r="BH128" s="24">
        <v>10518.95</v>
      </c>
      <c r="BI128" s="24">
        <v>9901.57</v>
      </c>
      <c r="BJ128" s="9">
        <f t="shared" si="52"/>
        <v>235036.99</v>
      </c>
      <c r="BK128" s="9">
        <f t="shared" si="53"/>
        <v>159919.27000000002</v>
      </c>
      <c r="BL128" s="153">
        <f t="shared" si="54"/>
        <v>394956.26</v>
      </c>
      <c r="BM128" s="154"/>
      <c r="BN128" s="154"/>
      <c r="BO128" s="154"/>
      <c r="BP128" s="154"/>
      <c r="BQ128" s="154"/>
      <c r="BR128" s="155">
        <f t="shared" si="44"/>
        <v>394956.26</v>
      </c>
      <c r="BS128" s="198">
        <v>2584.05</v>
      </c>
      <c r="BT128" s="199">
        <v>4128</v>
      </c>
      <c r="BU128" s="20">
        <f t="shared" si="42"/>
        <v>-197389.67800000007</v>
      </c>
      <c r="BV128" s="231">
        <v>71952.4</v>
      </c>
      <c r="BW128" s="229"/>
      <c r="BX128" s="230"/>
    </row>
    <row r="129" spans="1:76" ht="15.75" customHeight="1">
      <c r="A129" s="1">
        <v>122</v>
      </c>
      <c r="B129" s="1" t="s">
        <v>113</v>
      </c>
      <c r="C129" s="1">
        <v>479.1</v>
      </c>
      <c r="D129" s="1">
        <v>0</v>
      </c>
      <c r="E129" s="1">
        <f t="shared" si="55"/>
        <v>479.1</v>
      </c>
      <c r="F129" s="2">
        <v>11.89</v>
      </c>
      <c r="G129" s="2">
        <f t="shared" si="47"/>
        <v>5696.499000000001</v>
      </c>
      <c r="H129" s="2">
        <f t="shared" si="48"/>
        <v>34178.994000000006</v>
      </c>
      <c r="I129" s="2">
        <f t="shared" si="56"/>
        <v>11.89</v>
      </c>
      <c r="J129" s="2">
        <f aca="true" t="shared" si="57" ref="J129:J183">E129*I129</f>
        <v>5696.499000000001</v>
      </c>
      <c r="K129" s="2">
        <f t="shared" si="49"/>
        <v>34178.994000000006</v>
      </c>
      <c r="L129" s="97">
        <f t="shared" si="50"/>
        <v>68357.98800000001</v>
      </c>
      <c r="M129" s="109">
        <v>3.92</v>
      </c>
      <c r="N129" s="89">
        <f aca="true" t="shared" si="58" ref="N129:N184">E129*M129*12</f>
        <v>22536.864</v>
      </c>
      <c r="O129" s="64">
        <v>1.46</v>
      </c>
      <c r="P129" s="90">
        <f aca="true" t="shared" si="59" ref="P129:P184">E129*O129*12</f>
        <v>8393.832</v>
      </c>
      <c r="Q129" s="64"/>
      <c r="R129" s="90">
        <f aca="true" t="shared" si="60" ref="R129:R184">E129*Q129*12</f>
        <v>0</v>
      </c>
      <c r="S129" s="64"/>
      <c r="T129" s="91">
        <f aca="true" t="shared" si="61" ref="T129:T184">E129*S129*12</f>
        <v>0</v>
      </c>
      <c r="U129" s="64">
        <v>0</v>
      </c>
      <c r="V129" s="90">
        <f aca="true" t="shared" si="62" ref="V129:V184">E129*U129*12</f>
        <v>0</v>
      </c>
      <c r="W129" s="96"/>
      <c r="X129" s="91">
        <f aca="true" t="shared" si="63" ref="X129:X184">E129*W129*12</f>
        <v>0</v>
      </c>
      <c r="Y129" s="110">
        <f aca="true" t="shared" si="64" ref="Y129:Y185">N129+P129+R129+T129+V129+X129</f>
        <v>30930.696000000004</v>
      </c>
      <c r="Z129" s="32"/>
      <c r="AA129" s="12">
        <f aca="true" t="shared" si="65" ref="AA129:AA184">Z129/L129</f>
        <v>0</v>
      </c>
      <c r="AB129" s="25">
        <f aca="true" t="shared" si="66" ref="AB129:AB184">L129+Z129</f>
        <v>68357.98800000001</v>
      </c>
      <c r="AC129" s="44"/>
      <c r="AD129" s="8">
        <f t="shared" si="51"/>
        <v>68357.98800000001</v>
      </c>
      <c r="AE129" s="167">
        <v>18397.824</v>
      </c>
      <c r="AF129" s="168">
        <v>0</v>
      </c>
      <c r="AG129" s="168">
        <v>5696.499000000001</v>
      </c>
      <c r="AH129" s="168">
        <v>0</v>
      </c>
      <c r="AI129" s="168">
        <v>68357.98800000001</v>
      </c>
      <c r="AJ129" s="59" t="s">
        <v>299</v>
      </c>
      <c r="AK129" s="59"/>
      <c r="AL129" s="45">
        <v>0</v>
      </c>
      <c r="AM129" s="45">
        <v>1537.94</v>
      </c>
      <c r="AN129" s="2">
        <v>0</v>
      </c>
      <c r="AO129" s="2">
        <v>1537.94</v>
      </c>
      <c r="AP129" s="1">
        <v>0</v>
      </c>
      <c r="AQ129" s="1">
        <v>2842.23</v>
      </c>
      <c r="AR129" s="24">
        <v>0</v>
      </c>
      <c r="AS129" s="24">
        <v>9165.19</v>
      </c>
      <c r="AT129" s="1">
        <v>0</v>
      </c>
      <c r="AU129" s="1">
        <v>1537.94</v>
      </c>
      <c r="AV129" s="24">
        <v>0</v>
      </c>
      <c r="AW129" s="24">
        <v>52234.81</v>
      </c>
      <c r="AX129" s="45">
        <v>0</v>
      </c>
      <c r="AY129" s="45">
        <v>1537.94</v>
      </c>
      <c r="AZ129" s="24">
        <v>0</v>
      </c>
      <c r="BA129" s="24">
        <v>1537.94</v>
      </c>
      <c r="BB129" s="24">
        <v>0</v>
      </c>
      <c r="BC129" s="24">
        <v>1537.94</v>
      </c>
      <c r="BD129" s="24">
        <v>0</v>
      </c>
      <c r="BE129" s="24">
        <v>3953.46</v>
      </c>
      <c r="BF129" s="24">
        <v>0</v>
      </c>
      <c r="BG129" s="24">
        <v>2363.94</v>
      </c>
      <c r="BH129" s="24">
        <v>0</v>
      </c>
      <c r="BI129" s="24">
        <v>1537.94</v>
      </c>
      <c r="BJ129" s="9">
        <f t="shared" si="52"/>
        <v>0</v>
      </c>
      <c r="BK129" s="9">
        <f t="shared" si="53"/>
        <v>81325.21000000002</v>
      </c>
      <c r="BL129" s="153">
        <f t="shared" si="54"/>
        <v>81325.21000000002</v>
      </c>
      <c r="BM129" s="154"/>
      <c r="BN129" s="154"/>
      <c r="BO129" s="154"/>
      <c r="BP129" s="154"/>
      <c r="BQ129" s="154"/>
      <c r="BR129" s="155">
        <f aca="true" t="shared" si="67" ref="BR129:BR186">BL129+BM129+BN129+BO129+BQ129+BP129</f>
        <v>81325.21000000002</v>
      </c>
      <c r="BS129" s="198">
        <v>1049.23</v>
      </c>
      <c r="BT129" s="199"/>
      <c r="BU129" s="20">
        <f aca="true" t="shared" si="68" ref="BU129:BU185">AB129-BR129+BS129</f>
        <v>-11917.99200000001</v>
      </c>
      <c r="BV129" s="231">
        <v>46990.27</v>
      </c>
      <c r="BW129" s="229"/>
      <c r="BX129" s="230"/>
    </row>
    <row r="130" spans="1:76" ht="15.75">
      <c r="A130" s="1">
        <v>123</v>
      </c>
      <c r="B130" s="1" t="s">
        <v>114</v>
      </c>
      <c r="C130" s="1">
        <v>5780.6</v>
      </c>
      <c r="D130" s="1">
        <v>175.2</v>
      </c>
      <c r="E130" s="1">
        <f t="shared" si="55"/>
        <v>5955.8</v>
      </c>
      <c r="F130" s="2">
        <v>15.88</v>
      </c>
      <c r="G130" s="2">
        <f t="shared" si="47"/>
        <v>94578.104</v>
      </c>
      <c r="H130" s="2">
        <f t="shared" si="48"/>
        <v>567468.6240000001</v>
      </c>
      <c r="I130" s="2">
        <f t="shared" si="56"/>
        <v>15.88</v>
      </c>
      <c r="J130" s="2">
        <f t="shared" si="57"/>
        <v>94578.104</v>
      </c>
      <c r="K130" s="2">
        <f t="shared" si="49"/>
        <v>567468.6240000001</v>
      </c>
      <c r="L130" s="97">
        <f t="shared" si="50"/>
        <v>1134937.2480000001</v>
      </c>
      <c r="M130" s="109">
        <v>3.92</v>
      </c>
      <c r="N130" s="89">
        <f t="shared" si="58"/>
        <v>280160.832</v>
      </c>
      <c r="O130" s="64">
        <v>1.46</v>
      </c>
      <c r="P130" s="90">
        <f t="shared" si="59"/>
        <v>104345.61600000001</v>
      </c>
      <c r="Q130" s="64"/>
      <c r="R130" s="90">
        <f t="shared" si="60"/>
        <v>0</v>
      </c>
      <c r="S130" s="64"/>
      <c r="T130" s="91">
        <f t="shared" si="61"/>
        <v>0</v>
      </c>
      <c r="U130" s="64">
        <v>0.31</v>
      </c>
      <c r="V130" s="90">
        <f t="shared" si="62"/>
        <v>22155.576</v>
      </c>
      <c r="W130" s="96"/>
      <c r="X130" s="91">
        <f t="shared" si="63"/>
        <v>0</v>
      </c>
      <c r="Y130" s="110">
        <f t="shared" si="64"/>
        <v>406662.024</v>
      </c>
      <c r="Z130" s="32">
        <v>-304758.17</v>
      </c>
      <c r="AA130" s="12">
        <f t="shared" si="65"/>
        <v>-0.2685242470780199</v>
      </c>
      <c r="AB130" s="25">
        <f t="shared" si="66"/>
        <v>830179.0780000002</v>
      </c>
      <c r="AC130" s="44"/>
      <c r="AD130" s="8">
        <f t="shared" si="51"/>
        <v>830179.0780000002</v>
      </c>
      <c r="AE130" s="167">
        <v>395546.4480000001</v>
      </c>
      <c r="AF130" s="168">
        <v>40408.05352022844</v>
      </c>
      <c r="AG130" s="168">
        <v>28773.536313104913</v>
      </c>
      <c r="AH130" s="168">
        <v>484896.64224274125</v>
      </c>
      <c r="AI130" s="168">
        <v>345282.43575725897</v>
      </c>
      <c r="AJ130" s="59"/>
      <c r="AK130" s="59"/>
      <c r="AL130" s="45">
        <v>100410.24</v>
      </c>
      <c r="AM130" s="45">
        <v>44483.54</v>
      </c>
      <c r="AN130" s="2">
        <v>20329.64</v>
      </c>
      <c r="AO130" s="2">
        <v>17179.33</v>
      </c>
      <c r="AP130" s="1">
        <v>22549.07</v>
      </c>
      <c r="AQ130" s="1">
        <v>29123.1</v>
      </c>
      <c r="AR130" s="24">
        <v>38514.58</v>
      </c>
      <c r="AS130" s="24">
        <v>30961.54</v>
      </c>
      <c r="AT130" s="1">
        <v>39085.82</v>
      </c>
      <c r="AU130" s="1">
        <v>20459.92</v>
      </c>
      <c r="AV130" s="24">
        <v>34098.48</v>
      </c>
      <c r="AW130" s="24">
        <v>21762.46</v>
      </c>
      <c r="AX130" s="45">
        <v>27567.79</v>
      </c>
      <c r="AY130" s="45">
        <v>40662.59</v>
      </c>
      <c r="AZ130" s="24">
        <v>27646.92</v>
      </c>
      <c r="BA130" s="24">
        <v>18653.32</v>
      </c>
      <c r="BB130" s="24">
        <v>31673.64</v>
      </c>
      <c r="BC130" s="24">
        <v>31533.71</v>
      </c>
      <c r="BD130" s="24">
        <v>15629.47</v>
      </c>
      <c r="BE130" s="24">
        <v>38558.34</v>
      </c>
      <c r="BF130" s="24">
        <v>19687.35</v>
      </c>
      <c r="BG130" s="24">
        <v>24388.48</v>
      </c>
      <c r="BH130" s="24">
        <v>16660.16</v>
      </c>
      <c r="BI130" s="24">
        <v>22614.25</v>
      </c>
      <c r="BJ130" s="9">
        <f t="shared" si="52"/>
        <v>393853.16</v>
      </c>
      <c r="BK130" s="9">
        <f t="shared" si="53"/>
        <v>340380.57999999996</v>
      </c>
      <c r="BL130" s="153">
        <f t="shared" si="54"/>
        <v>734233.74</v>
      </c>
      <c r="BM130" s="154"/>
      <c r="BN130" s="154">
        <f>137834.75+119930+131100</f>
        <v>388864.75</v>
      </c>
      <c r="BO130" s="154"/>
      <c r="BP130" s="154"/>
      <c r="BQ130" s="154"/>
      <c r="BR130" s="155">
        <f t="shared" si="67"/>
        <v>1123098.49</v>
      </c>
      <c r="BS130" s="198">
        <v>8697.37</v>
      </c>
      <c r="BT130" s="199"/>
      <c r="BU130" s="20">
        <f t="shared" si="68"/>
        <v>-284222.0419999998</v>
      </c>
      <c r="BV130" s="231">
        <v>321176.55</v>
      </c>
      <c r="BW130" s="229"/>
      <c r="BX130" s="230"/>
    </row>
    <row r="131" spans="1:76" ht="15.75">
      <c r="A131" s="1">
        <v>124</v>
      </c>
      <c r="B131" s="1" t="s">
        <v>115</v>
      </c>
      <c r="C131" s="1">
        <v>885.2</v>
      </c>
      <c r="D131" s="1">
        <v>95.7</v>
      </c>
      <c r="E131" s="1">
        <f t="shared" si="55"/>
        <v>980.9000000000001</v>
      </c>
      <c r="F131" s="2">
        <v>15.92</v>
      </c>
      <c r="G131" s="2">
        <f t="shared" si="47"/>
        <v>15615.928000000002</v>
      </c>
      <c r="H131" s="2">
        <f t="shared" si="48"/>
        <v>93695.56800000001</v>
      </c>
      <c r="I131" s="2">
        <f t="shared" si="56"/>
        <v>15.92</v>
      </c>
      <c r="J131" s="2">
        <f t="shared" si="57"/>
        <v>15615.928000000002</v>
      </c>
      <c r="K131" s="2">
        <f t="shared" si="49"/>
        <v>93695.56800000001</v>
      </c>
      <c r="L131" s="97">
        <f t="shared" si="50"/>
        <v>187391.13600000003</v>
      </c>
      <c r="M131" s="109">
        <v>3.92</v>
      </c>
      <c r="N131" s="89">
        <f t="shared" si="58"/>
        <v>46141.536</v>
      </c>
      <c r="O131" s="64">
        <v>1.46</v>
      </c>
      <c r="P131" s="90">
        <f t="shared" si="59"/>
        <v>17185.368000000002</v>
      </c>
      <c r="Q131" s="64"/>
      <c r="R131" s="90">
        <f t="shared" si="60"/>
        <v>0</v>
      </c>
      <c r="S131" s="64"/>
      <c r="T131" s="91">
        <f t="shared" si="61"/>
        <v>0</v>
      </c>
      <c r="U131" s="64">
        <v>0.7</v>
      </c>
      <c r="V131" s="90">
        <f t="shared" si="62"/>
        <v>8239.56</v>
      </c>
      <c r="W131" s="96"/>
      <c r="X131" s="91">
        <f t="shared" si="63"/>
        <v>0</v>
      </c>
      <c r="Y131" s="110">
        <f t="shared" si="64"/>
        <v>71566.464</v>
      </c>
      <c r="Z131" s="32"/>
      <c r="AA131" s="12">
        <f t="shared" si="65"/>
        <v>0</v>
      </c>
      <c r="AB131" s="25">
        <f t="shared" si="66"/>
        <v>187391.13600000003</v>
      </c>
      <c r="AC131" s="44"/>
      <c r="AD131" s="8">
        <f t="shared" si="51"/>
        <v>187391.13600000003</v>
      </c>
      <c r="AE131" s="167">
        <v>34776.576</v>
      </c>
      <c r="AF131" s="168">
        <v>0</v>
      </c>
      <c r="AG131" s="168">
        <v>15615.928000000002</v>
      </c>
      <c r="AH131" s="168">
        <v>0</v>
      </c>
      <c r="AI131" s="168">
        <v>187391.13600000003</v>
      </c>
      <c r="AJ131" s="59"/>
      <c r="AK131" s="59"/>
      <c r="AL131" s="45">
        <v>0</v>
      </c>
      <c r="AM131" s="45">
        <v>2677.86</v>
      </c>
      <c r="AN131" s="2">
        <v>0</v>
      </c>
      <c r="AO131" s="2">
        <v>5431.72</v>
      </c>
      <c r="AP131" s="1">
        <v>0</v>
      </c>
      <c r="AQ131" s="1">
        <v>4429.3</v>
      </c>
      <c r="AR131" s="24">
        <v>0</v>
      </c>
      <c r="AS131" s="24">
        <v>9548.73</v>
      </c>
      <c r="AT131" s="1">
        <v>0</v>
      </c>
      <c r="AU131" s="1">
        <v>5451.81</v>
      </c>
      <c r="AV131" s="24">
        <v>0</v>
      </c>
      <c r="AW131" s="24">
        <v>13257.86</v>
      </c>
      <c r="AX131" s="45">
        <v>0</v>
      </c>
      <c r="AY131" s="45">
        <v>20055.56</v>
      </c>
      <c r="AZ131" s="24">
        <v>0</v>
      </c>
      <c r="BA131" s="24">
        <v>2677.86</v>
      </c>
      <c r="BB131" s="24">
        <v>0</v>
      </c>
      <c r="BC131" s="24">
        <v>6151.86</v>
      </c>
      <c r="BD131" s="24">
        <v>0</v>
      </c>
      <c r="BE131" s="24">
        <v>6567.37</v>
      </c>
      <c r="BF131" s="24">
        <v>0</v>
      </c>
      <c r="BG131" s="24">
        <v>8948.26</v>
      </c>
      <c r="BH131" s="24">
        <v>0</v>
      </c>
      <c r="BI131" s="24">
        <v>14523.07</v>
      </c>
      <c r="BJ131" s="9">
        <f t="shared" si="52"/>
        <v>0</v>
      </c>
      <c r="BK131" s="9">
        <f t="shared" si="53"/>
        <v>99721.25999999998</v>
      </c>
      <c r="BL131" s="153">
        <f t="shared" si="54"/>
        <v>99721.25999999998</v>
      </c>
      <c r="BM131" s="154"/>
      <c r="BN131" s="154"/>
      <c r="BO131" s="154"/>
      <c r="BP131" s="154"/>
      <c r="BQ131" s="154"/>
      <c r="BR131" s="155">
        <f t="shared" si="67"/>
        <v>99721.25999999998</v>
      </c>
      <c r="BS131" s="198">
        <v>1432.11</v>
      </c>
      <c r="BT131" s="199">
        <v>8256</v>
      </c>
      <c r="BU131" s="20">
        <f t="shared" si="68"/>
        <v>89101.98600000005</v>
      </c>
      <c r="BV131" s="231">
        <v>32186.98</v>
      </c>
      <c r="BW131" s="229"/>
      <c r="BX131" s="230"/>
    </row>
    <row r="132" spans="1:76" ht="15.75">
      <c r="A132" s="1">
        <v>125</v>
      </c>
      <c r="B132" s="1" t="s">
        <v>116</v>
      </c>
      <c r="C132" s="1">
        <v>4496.1</v>
      </c>
      <c r="D132" s="1">
        <v>84.4</v>
      </c>
      <c r="E132" s="1">
        <f t="shared" si="55"/>
        <v>4580.5</v>
      </c>
      <c r="F132" s="2">
        <v>15.18</v>
      </c>
      <c r="G132" s="2">
        <f t="shared" si="47"/>
        <v>69531.99</v>
      </c>
      <c r="H132" s="2">
        <f t="shared" si="48"/>
        <v>417191.94000000006</v>
      </c>
      <c r="I132" s="2">
        <f t="shared" si="56"/>
        <v>15.18</v>
      </c>
      <c r="J132" s="2">
        <f t="shared" si="57"/>
        <v>69531.99</v>
      </c>
      <c r="K132" s="2">
        <f t="shared" si="49"/>
        <v>417191.94000000006</v>
      </c>
      <c r="L132" s="97">
        <f t="shared" si="50"/>
        <v>834383.8800000001</v>
      </c>
      <c r="M132" s="109">
        <v>3.92</v>
      </c>
      <c r="N132" s="89">
        <f t="shared" si="58"/>
        <v>215466.72000000003</v>
      </c>
      <c r="O132" s="64">
        <v>1.46</v>
      </c>
      <c r="P132" s="90">
        <f t="shared" si="59"/>
        <v>80250.36</v>
      </c>
      <c r="Q132" s="64"/>
      <c r="R132" s="90">
        <f t="shared" si="60"/>
        <v>0</v>
      </c>
      <c r="S132" s="64"/>
      <c r="T132" s="91">
        <f t="shared" si="61"/>
        <v>0</v>
      </c>
      <c r="U132" s="64">
        <v>0.33</v>
      </c>
      <c r="V132" s="90">
        <f t="shared" si="62"/>
        <v>18138.78</v>
      </c>
      <c r="W132" s="96"/>
      <c r="X132" s="91">
        <f t="shared" si="63"/>
        <v>0</v>
      </c>
      <c r="Y132" s="110">
        <f t="shared" si="64"/>
        <v>313855.86</v>
      </c>
      <c r="Z132" s="32">
        <v>-411290.04</v>
      </c>
      <c r="AA132" s="12">
        <f t="shared" si="65"/>
        <v>-0.49292663707740847</v>
      </c>
      <c r="AB132" s="25">
        <f t="shared" si="66"/>
        <v>423093.84000000014</v>
      </c>
      <c r="AC132" s="166"/>
      <c r="AD132" s="8">
        <f t="shared" si="51"/>
        <v>423093.84000000014</v>
      </c>
      <c r="AE132" s="167">
        <v>301237.0800000001</v>
      </c>
      <c r="AF132" s="168">
        <v>0</v>
      </c>
      <c r="AG132" s="168">
        <v>30257.82000000001</v>
      </c>
      <c r="AH132" s="168">
        <v>0</v>
      </c>
      <c r="AI132" s="168">
        <v>363093.84000000014</v>
      </c>
      <c r="AJ132" s="59"/>
      <c r="AK132" s="59"/>
      <c r="AL132" s="45">
        <v>0</v>
      </c>
      <c r="AM132" s="45">
        <v>65274.99</v>
      </c>
      <c r="AN132" s="2">
        <v>0</v>
      </c>
      <c r="AO132" s="2">
        <v>27972.68</v>
      </c>
      <c r="AP132" s="1">
        <v>0</v>
      </c>
      <c r="AQ132" s="1">
        <v>39674.48</v>
      </c>
      <c r="AR132" s="24">
        <v>0</v>
      </c>
      <c r="AS132" s="24">
        <v>31978.96</v>
      </c>
      <c r="AT132" s="1">
        <v>0</v>
      </c>
      <c r="AU132" s="1">
        <v>40835.97</v>
      </c>
      <c r="AV132" s="24">
        <v>0</v>
      </c>
      <c r="AW132" s="24">
        <v>64307.15</v>
      </c>
      <c r="AX132" s="45">
        <v>0</v>
      </c>
      <c r="AY132" s="45">
        <v>149025.75</v>
      </c>
      <c r="AZ132" s="24">
        <v>0</v>
      </c>
      <c r="BA132" s="24">
        <v>45408.05</v>
      </c>
      <c r="BB132" s="24">
        <v>0</v>
      </c>
      <c r="BC132" s="24">
        <v>77974.99</v>
      </c>
      <c r="BD132" s="24">
        <v>0</v>
      </c>
      <c r="BE132" s="24">
        <v>36341.08</v>
      </c>
      <c r="BF132" s="24">
        <v>0</v>
      </c>
      <c r="BG132" s="24">
        <v>42307.19</v>
      </c>
      <c r="BH132" s="24">
        <v>0</v>
      </c>
      <c r="BI132" s="24">
        <v>60975.61</v>
      </c>
      <c r="BJ132" s="9">
        <f t="shared" si="52"/>
        <v>0</v>
      </c>
      <c r="BK132" s="9">
        <f t="shared" si="53"/>
        <v>682076.9</v>
      </c>
      <c r="BL132" s="153">
        <f t="shared" si="54"/>
        <v>682076.9</v>
      </c>
      <c r="BM132" s="154"/>
      <c r="BN132" s="154">
        <v>88035.14</v>
      </c>
      <c r="BO132" s="154"/>
      <c r="BP132" s="154"/>
      <c r="BQ132" s="154"/>
      <c r="BR132" s="155">
        <f t="shared" si="67"/>
        <v>770112.04</v>
      </c>
      <c r="BS132" s="198">
        <v>6680.81</v>
      </c>
      <c r="BT132" s="199"/>
      <c r="BU132" s="20">
        <f t="shared" si="68"/>
        <v>-340337.3899999999</v>
      </c>
      <c r="BV132" s="231">
        <v>965840.57</v>
      </c>
      <c r="BW132" s="229"/>
      <c r="BX132" s="230"/>
    </row>
    <row r="133" spans="1:76" ht="15.75" customHeight="1">
      <c r="A133" s="1">
        <v>126</v>
      </c>
      <c r="B133" s="1" t="s">
        <v>117</v>
      </c>
      <c r="C133" s="1">
        <v>4434.5</v>
      </c>
      <c r="D133" s="1">
        <v>96.8</v>
      </c>
      <c r="E133" s="1">
        <f t="shared" si="55"/>
        <v>4531.3</v>
      </c>
      <c r="F133" s="2">
        <v>15.18</v>
      </c>
      <c r="G133" s="2">
        <f t="shared" si="47"/>
        <v>68785.134</v>
      </c>
      <c r="H133" s="2">
        <f t="shared" si="48"/>
        <v>412710.804</v>
      </c>
      <c r="I133" s="2">
        <f t="shared" si="56"/>
        <v>15.18</v>
      </c>
      <c r="J133" s="2">
        <f t="shared" si="57"/>
        <v>68785.134</v>
      </c>
      <c r="K133" s="2">
        <f t="shared" si="49"/>
        <v>412710.804</v>
      </c>
      <c r="L133" s="97">
        <f t="shared" si="50"/>
        <v>825421.608</v>
      </c>
      <c r="M133" s="109">
        <v>3.92</v>
      </c>
      <c r="N133" s="89">
        <f t="shared" si="58"/>
        <v>213152.352</v>
      </c>
      <c r="O133" s="64">
        <v>1.46</v>
      </c>
      <c r="P133" s="90">
        <f t="shared" si="59"/>
        <v>79388.376</v>
      </c>
      <c r="Q133" s="64"/>
      <c r="R133" s="90">
        <f t="shared" si="60"/>
        <v>0</v>
      </c>
      <c r="S133" s="64"/>
      <c r="T133" s="91">
        <f t="shared" si="61"/>
        <v>0</v>
      </c>
      <c r="U133" s="64">
        <v>0.34</v>
      </c>
      <c r="V133" s="90">
        <f t="shared" si="62"/>
        <v>18487.704000000005</v>
      </c>
      <c r="W133" s="96"/>
      <c r="X133" s="91">
        <f t="shared" si="63"/>
        <v>0</v>
      </c>
      <c r="Y133" s="110">
        <f t="shared" si="64"/>
        <v>311028.43200000003</v>
      </c>
      <c r="Z133" s="32"/>
      <c r="AA133" s="12">
        <f t="shared" si="65"/>
        <v>0</v>
      </c>
      <c r="AB133" s="25">
        <f t="shared" si="66"/>
        <v>825421.608</v>
      </c>
      <c r="AC133" s="166"/>
      <c r="AD133" s="8">
        <f t="shared" si="51"/>
        <v>825421.608</v>
      </c>
      <c r="AE133" s="167">
        <v>298060.72800000006</v>
      </c>
      <c r="AF133" s="168">
        <v>0</v>
      </c>
      <c r="AG133" s="168">
        <v>68785.134</v>
      </c>
      <c r="AH133" s="168">
        <v>0</v>
      </c>
      <c r="AI133" s="168">
        <v>825421.608</v>
      </c>
      <c r="AJ133" s="59"/>
      <c r="AK133" s="59"/>
      <c r="AL133" s="45">
        <v>0</v>
      </c>
      <c r="AM133" s="45">
        <v>102664.83</v>
      </c>
      <c r="AN133" s="2">
        <v>0</v>
      </c>
      <c r="AO133" s="2">
        <v>72492.63</v>
      </c>
      <c r="AP133" s="1">
        <v>0</v>
      </c>
      <c r="AQ133" s="1">
        <v>134214.17</v>
      </c>
      <c r="AR133" s="24">
        <v>0</v>
      </c>
      <c r="AS133" s="24">
        <v>40487.47</v>
      </c>
      <c r="AT133" s="1">
        <v>0</v>
      </c>
      <c r="AU133" s="1">
        <v>68681.72</v>
      </c>
      <c r="AV133" s="24">
        <v>0</v>
      </c>
      <c r="AW133" s="24">
        <v>70677.32</v>
      </c>
      <c r="AX133" s="45">
        <v>0</v>
      </c>
      <c r="AY133" s="45">
        <v>48523.1</v>
      </c>
      <c r="AZ133" s="24">
        <v>0</v>
      </c>
      <c r="BA133" s="24">
        <v>45682.26</v>
      </c>
      <c r="BB133" s="24">
        <v>0</v>
      </c>
      <c r="BC133" s="24">
        <v>75899.98</v>
      </c>
      <c r="BD133" s="24">
        <v>0</v>
      </c>
      <c r="BE133" s="24">
        <v>28490.54</v>
      </c>
      <c r="BF133" s="24">
        <v>0</v>
      </c>
      <c r="BG133" s="24">
        <v>56012.51</v>
      </c>
      <c r="BH133" s="24">
        <v>0</v>
      </c>
      <c r="BI133" s="24">
        <v>43528.11</v>
      </c>
      <c r="BJ133" s="9">
        <f t="shared" si="52"/>
        <v>0</v>
      </c>
      <c r="BK133" s="9">
        <f t="shared" si="53"/>
        <v>787354.64</v>
      </c>
      <c r="BL133" s="153">
        <f t="shared" si="54"/>
        <v>787354.64</v>
      </c>
      <c r="BM133" s="154"/>
      <c r="BN133" s="154"/>
      <c r="BO133" s="154"/>
      <c r="BP133" s="154"/>
      <c r="BQ133" s="154"/>
      <c r="BR133" s="155">
        <f t="shared" si="67"/>
        <v>787354.64</v>
      </c>
      <c r="BS133" s="198">
        <v>6601.24</v>
      </c>
      <c r="BT133" s="199">
        <v>17964</v>
      </c>
      <c r="BU133" s="20">
        <f t="shared" si="68"/>
        <v>44668.20799999999</v>
      </c>
      <c r="BV133" s="231">
        <v>427438.45</v>
      </c>
      <c r="BW133" s="229"/>
      <c r="BX133" s="230"/>
    </row>
    <row r="134" spans="1:76" ht="15.75" customHeight="1">
      <c r="A134" s="1">
        <v>127</v>
      </c>
      <c r="B134" s="1" t="s">
        <v>118</v>
      </c>
      <c r="C134" s="1">
        <v>5245.2</v>
      </c>
      <c r="D134" s="1">
        <v>0</v>
      </c>
      <c r="E134" s="1">
        <f t="shared" si="55"/>
        <v>5245.2</v>
      </c>
      <c r="F134" s="2">
        <v>15.45</v>
      </c>
      <c r="G134" s="2">
        <f t="shared" si="47"/>
        <v>81038.34</v>
      </c>
      <c r="H134" s="2">
        <f t="shared" si="48"/>
        <v>486230.04</v>
      </c>
      <c r="I134" s="2">
        <f t="shared" si="56"/>
        <v>15.45</v>
      </c>
      <c r="J134" s="2">
        <f t="shared" si="57"/>
        <v>81038.34</v>
      </c>
      <c r="K134" s="2">
        <f t="shared" si="49"/>
        <v>486230.04</v>
      </c>
      <c r="L134" s="97">
        <f t="shared" si="50"/>
        <v>972460.08</v>
      </c>
      <c r="M134" s="109">
        <v>3.92</v>
      </c>
      <c r="N134" s="89">
        <f t="shared" si="58"/>
        <v>246734.20799999998</v>
      </c>
      <c r="O134" s="64">
        <v>1.46</v>
      </c>
      <c r="P134" s="90">
        <f t="shared" si="59"/>
        <v>91895.904</v>
      </c>
      <c r="Q134" s="64"/>
      <c r="R134" s="90">
        <f t="shared" si="60"/>
        <v>0</v>
      </c>
      <c r="S134" s="64"/>
      <c r="T134" s="91">
        <f t="shared" si="61"/>
        <v>0</v>
      </c>
      <c r="U134" s="64">
        <v>0.35</v>
      </c>
      <c r="V134" s="90">
        <f t="shared" si="62"/>
        <v>22029.839999999997</v>
      </c>
      <c r="W134" s="96"/>
      <c r="X134" s="91">
        <f t="shared" si="63"/>
        <v>0</v>
      </c>
      <c r="Y134" s="110">
        <f t="shared" si="64"/>
        <v>360659.95199999993</v>
      </c>
      <c r="Z134" s="32"/>
      <c r="AA134" s="12">
        <f t="shared" si="65"/>
        <v>0</v>
      </c>
      <c r="AB134" s="25">
        <f t="shared" si="66"/>
        <v>972460.08</v>
      </c>
      <c r="AC134" s="44"/>
      <c r="AD134" s="8">
        <f t="shared" si="51"/>
        <v>972460.08</v>
      </c>
      <c r="AE134" s="167">
        <v>344150.11199999996</v>
      </c>
      <c r="AF134" s="168">
        <v>0</v>
      </c>
      <c r="AG134" s="168">
        <v>81038.34</v>
      </c>
      <c r="AH134" s="168">
        <v>0</v>
      </c>
      <c r="AI134" s="168">
        <v>972460.08</v>
      </c>
      <c r="AJ134" s="59"/>
      <c r="AK134" s="59"/>
      <c r="AL134" s="45">
        <v>0</v>
      </c>
      <c r="AM134" s="45">
        <v>105019.18</v>
      </c>
      <c r="AN134" s="2">
        <v>0</v>
      </c>
      <c r="AO134" s="2">
        <v>31695.05</v>
      </c>
      <c r="AP134" s="1">
        <v>0</v>
      </c>
      <c r="AQ134" s="1">
        <v>54657.23</v>
      </c>
      <c r="AR134" s="24">
        <v>0</v>
      </c>
      <c r="AS134" s="24">
        <v>56575.91</v>
      </c>
      <c r="AT134" s="1">
        <v>0</v>
      </c>
      <c r="AU134" s="1">
        <v>41981.88</v>
      </c>
      <c r="AV134" s="24">
        <v>0</v>
      </c>
      <c r="AW134" s="24">
        <v>60926.48</v>
      </c>
      <c r="AX134" s="45">
        <v>0</v>
      </c>
      <c r="AY134" s="45">
        <v>63853.28</v>
      </c>
      <c r="AZ134" s="24">
        <v>0</v>
      </c>
      <c r="BA134" s="24">
        <v>45163.73</v>
      </c>
      <c r="BB134" s="24">
        <v>0</v>
      </c>
      <c r="BC134" s="24">
        <v>40031.23</v>
      </c>
      <c r="BD134" s="24">
        <v>0</v>
      </c>
      <c r="BE134" s="24">
        <v>83433.04</v>
      </c>
      <c r="BF134" s="24">
        <v>0</v>
      </c>
      <c r="BG134" s="24">
        <v>87177.11</v>
      </c>
      <c r="BH134" s="24">
        <v>0</v>
      </c>
      <c r="BI134" s="24">
        <v>93569.67</v>
      </c>
      <c r="BJ134" s="9">
        <f t="shared" si="52"/>
        <v>0</v>
      </c>
      <c r="BK134" s="9">
        <f t="shared" si="53"/>
        <v>764083.79</v>
      </c>
      <c r="BL134" s="153">
        <f t="shared" si="54"/>
        <v>764083.79</v>
      </c>
      <c r="BM134" s="154">
        <f>7253+12969</f>
        <v>20222</v>
      </c>
      <c r="BN134" s="154">
        <f>(129600.1-59462.26)+116500+130000+264000+36120</f>
        <v>616757.84</v>
      </c>
      <c r="BO134" s="154"/>
      <c r="BP134" s="154"/>
      <c r="BQ134" s="154"/>
      <c r="BR134" s="155">
        <f t="shared" si="67"/>
        <v>1401063.63</v>
      </c>
      <c r="BS134" s="198">
        <v>7655.66</v>
      </c>
      <c r="BT134" s="199"/>
      <c r="BU134" s="20">
        <f t="shared" si="68"/>
        <v>-420947.88999999996</v>
      </c>
      <c r="BV134" s="231">
        <v>734394.15</v>
      </c>
      <c r="BW134" s="229"/>
      <c r="BX134" s="230"/>
    </row>
    <row r="135" spans="1:76" ht="15.75" customHeight="1">
      <c r="A135" s="1">
        <v>128</v>
      </c>
      <c r="B135" s="1" t="s">
        <v>119</v>
      </c>
      <c r="C135" s="1">
        <v>2520.96</v>
      </c>
      <c r="D135" s="1">
        <v>0</v>
      </c>
      <c r="E135" s="1">
        <f t="shared" si="55"/>
        <v>2520.96</v>
      </c>
      <c r="F135" s="2">
        <v>15.76</v>
      </c>
      <c r="G135" s="2">
        <f t="shared" si="47"/>
        <v>39730.3296</v>
      </c>
      <c r="H135" s="2">
        <f t="shared" si="48"/>
        <v>238381.97759999998</v>
      </c>
      <c r="I135" s="2">
        <f t="shared" si="56"/>
        <v>15.76</v>
      </c>
      <c r="J135" s="2">
        <f t="shared" si="57"/>
        <v>39730.3296</v>
      </c>
      <c r="K135" s="2">
        <f t="shared" si="49"/>
        <v>238381.97759999998</v>
      </c>
      <c r="L135" s="97">
        <f t="shared" si="50"/>
        <v>476763.95519999997</v>
      </c>
      <c r="M135" s="109">
        <v>3.92</v>
      </c>
      <c r="N135" s="89">
        <f t="shared" si="58"/>
        <v>118585.9584</v>
      </c>
      <c r="O135" s="64"/>
      <c r="P135" s="90">
        <f t="shared" si="59"/>
        <v>0</v>
      </c>
      <c r="Q135" s="64">
        <v>0.52</v>
      </c>
      <c r="R135" s="90">
        <f t="shared" si="60"/>
        <v>15730.790400000002</v>
      </c>
      <c r="S135" s="64">
        <v>0.89</v>
      </c>
      <c r="T135" s="91">
        <f t="shared" si="61"/>
        <v>26923.8528</v>
      </c>
      <c r="U135" s="64">
        <v>0.73</v>
      </c>
      <c r="V135" s="90">
        <f t="shared" si="62"/>
        <v>22083.6096</v>
      </c>
      <c r="W135" s="96"/>
      <c r="X135" s="91">
        <f t="shared" si="63"/>
        <v>0</v>
      </c>
      <c r="Y135" s="110">
        <f t="shared" si="64"/>
        <v>183324.2112</v>
      </c>
      <c r="Z135" s="32"/>
      <c r="AA135" s="12">
        <f t="shared" si="65"/>
        <v>0</v>
      </c>
      <c r="AB135" s="25">
        <f t="shared" si="66"/>
        <v>476763.95519999997</v>
      </c>
      <c r="AC135" s="44"/>
      <c r="AD135" s="8">
        <f t="shared" si="51"/>
        <v>476763.95519999997</v>
      </c>
      <c r="AE135" s="167">
        <v>165513.1776</v>
      </c>
      <c r="AF135" s="168">
        <v>0</v>
      </c>
      <c r="AG135" s="168">
        <v>39730.3296</v>
      </c>
      <c r="AH135" s="168">
        <v>0</v>
      </c>
      <c r="AI135" s="168">
        <v>476763.95519999997</v>
      </c>
      <c r="AJ135" s="59"/>
      <c r="AK135" s="59"/>
      <c r="AL135" s="45">
        <v>0</v>
      </c>
      <c r="AM135" s="45">
        <v>7534.37</v>
      </c>
      <c r="AN135" s="2">
        <v>0</v>
      </c>
      <c r="AO135" s="2">
        <v>6882.22</v>
      </c>
      <c r="AP135" s="1">
        <v>0</v>
      </c>
      <c r="AQ135" s="1">
        <v>6882.22</v>
      </c>
      <c r="AR135" s="24">
        <v>0</v>
      </c>
      <c r="AS135" s="24">
        <v>10428.59</v>
      </c>
      <c r="AT135" s="1">
        <v>0</v>
      </c>
      <c r="AU135" s="1">
        <v>8682.22</v>
      </c>
      <c r="AV135" s="24">
        <v>0</v>
      </c>
      <c r="AW135" s="24">
        <v>10748.76</v>
      </c>
      <c r="AX135" s="45">
        <v>0</v>
      </c>
      <c r="AY135" s="45">
        <v>10211.72</v>
      </c>
      <c r="AZ135" s="24">
        <v>0</v>
      </c>
      <c r="BA135" s="24">
        <v>14517.6</v>
      </c>
      <c r="BB135" s="24">
        <v>0</v>
      </c>
      <c r="BC135" s="24">
        <v>14566.64</v>
      </c>
      <c r="BD135" s="24">
        <v>0</v>
      </c>
      <c r="BE135" s="24">
        <v>10228.76</v>
      </c>
      <c r="BF135" s="24">
        <v>0</v>
      </c>
      <c r="BG135" s="24">
        <v>8390.22</v>
      </c>
      <c r="BH135" s="24">
        <v>0</v>
      </c>
      <c r="BI135" s="24">
        <v>9901.62</v>
      </c>
      <c r="BJ135" s="9">
        <f t="shared" si="52"/>
        <v>0</v>
      </c>
      <c r="BK135" s="9">
        <f t="shared" si="53"/>
        <v>118974.94</v>
      </c>
      <c r="BL135" s="153">
        <f t="shared" si="54"/>
        <v>118974.94</v>
      </c>
      <c r="BM135" s="154"/>
      <c r="BN135" s="154"/>
      <c r="BO135" s="154">
        <v>1961.23</v>
      </c>
      <c r="BP135" s="154"/>
      <c r="BQ135" s="154"/>
      <c r="BR135" s="155">
        <f t="shared" si="67"/>
        <v>120936.17</v>
      </c>
      <c r="BS135" s="198"/>
      <c r="BT135" s="199">
        <v>4128</v>
      </c>
      <c r="BU135" s="20">
        <f t="shared" si="68"/>
        <v>355827.7852</v>
      </c>
      <c r="BV135" s="231">
        <v>215261.5</v>
      </c>
      <c r="BW135" s="229"/>
      <c r="BX135" s="230"/>
    </row>
    <row r="136" spans="1:76" ht="15.75">
      <c r="A136" s="1">
        <v>129</v>
      </c>
      <c r="B136" s="1" t="s">
        <v>120</v>
      </c>
      <c r="C136" s="1">
        <v>6040.8</v>
      </c>
      <c r="D136" s="1">
        <v>0</v>
      </c>
      <c r="E136" s="1">
        <f t="shared" si="55"/>
        <v>6040.8</v>
      </c>
      <c r="F136" s="2">
        <v>15.87</v>
      </c>
      <c r="G136" s="2">
        <f t="shared" si="47"/>
        <v>95867.496</v>
      </c>
      <c r="H136" s="2">
        <f t="shared" si="48"/>
        <v>575204.976</v>
      </c>
      <c r="I136" s="2">
        <f t="shared" si="56"/>
        <v>15.87</v>
      </c>
      <c r="J136" s="2">
        <f t="shared" si="57"/>
        <v>95867.496</v>
      </c>
      <c r="K136" s="2">
        <f t="shared" si="49"/>
        <v>575204.976</v>
      </c>
      <c r="L136" s="97">
        <f t="shared" si="50"/>
        <v>1150409.952</v>
      </c>
      <c r="M136" s="109">
        <v>3.92</v>
      </c>
      <c r="N136" s="89">
        <f t="shared" si="58"/>
        <v>284159.232</v>
      </c>
      <c r="O136" s="64">
        <v>1.46</v>
      </c>
      <c r="P136" s="90">
        <f t="shared" si="59"/>
        <v>105834.81599999999</v>
      </c>
      <c r="Q136" s="64"/>
      <c r="R136" s="90">
        <f t="shared" si="60"/>
        <v>0</v>
      </c>
      <c r="S136" s="64"/>
      <c r="T136" s="91">
        <f t="shared" si="61"/>
        <v>0</v>
      </c>
      <c r="U136" s="64">
        <v>0.19</v>
      </c>
      <c r="V136" s="90">
        <f t="shared" si="62"/>
        <v>13773.024</v>
      </c>
      <c r="W136" s="96"/>
      <c r="X136" s="91">
        <f t="shared" si="63"/>
        <v>0</v>
      </c>
      <c r="Y136" s="110">
        <f t="shared" si="64"/>
        <v>403767.072</v>
      </c>
      <c r="Z136" s="32"/>
      <c r="AA136" s="12">
        <f t="shared" si="65"/>
        <v>0</v>
      </c>
      <c r="AB136" s="25">
        <f t="shared" si="66"/>
        <v>1150409.952</v>
      </c>
      <c r="AC136" s="166"/>
      <c r="AD136" s="8">
        <f t="shared" si="51"/>
        <v>1150409.952</v>
      </c>
      <c r="AE136" s="167">
        <v>392754.04800000007</v>
      </c>
      <c r="AF136" s="168">
        <v>54034.79685669078</v>
      </c>
      <c r="AG136" s="168">
        <v>41832.69914330922</v>
      </c>
      <c r="AH136" s="168">
        <v>648417.5622802894</v>
      </c>
      <c r="AI136" s="168">
        <v>501992.3897197106</v>
      </c>
      <c r="AJ136" s="59"/>
      <c r="AK136" s="59"/>
      <c r="AL136" s="45">
        <v>119617.3</v>
      </c>
      <c r="AM136" s="45">
        <v>19002.9</v>
      </c>
      <c r="AN136" s="2">
        <v>13077.14</v>
      </c>
      <c r="AO136" s="2">
        <v>16721.38</v>
      </c>
      <c r="AP136" s="1">
        <v>17431.04</v>
      </c>
      <c r="AQ136" s="1">
        <v>17437.02</v>
      </c>
      <c r="AR136" s="24">
        <v>11779.56</v>
      </c>
      <c r="AS136" s="24">
        <v>26844.42</v>
      </c>
      <c r="AT136" s="1">
        <v>26170.96</v>
      </c>
      <c r="AU136" s="1">
        <v>16721.38</v>
      </c>
      <c r="AV136" s="24">
        <v>62248.28</v>
      </c>
      <c r="AW136" s="24">
        <v>37985.25</v>
      </c>
      <c r="AX136" s="45">
        <v>41967.43</v>
      </c>
      <c r="AY136" s="45">
        <v>19669.36</v>
      </c>
      <c r="AZ136" s="24">
        <v>41466.48</v>
      </c>
      <c r="BA136" s="24">
        <v>29180.68</v>
      </c>
      <c r="BB136" s="24">
        <v>31383.8</v>
      </c>
      <c r="BC136" s="24">
        <v>36190.61</v>
      </c>
      <c r="BD136" s="24">
        <v>97746.06</v>
      </c>
      <c r="BE136" s="24">
        <v>25967.2</v>
      </c>
      <c r="BF136" s="24">
        <v>13653.05</v>
      </c>
      <c r="BG136" s="24">
        <v>52558.8</v>
      </c>
      <c r="BH136" s="24">
        <v>41724.56</v>
      </c>
      <c r="BI136" s="24">
        <v>27694.11</v>
      </c>
      <c r="BJ136" s="9">
        <f t="shared" si="52"/>
        <v>518265.66</v>
      </c>
      <c r="BK136" s="9">
        <f t="shared" si="53"/>
        <v>325973.11</v>
      </c>
      <c r="BL136" s="153">
        <f t="shared" si="54"/>
        <v>844238.77</v>
      </c>
      <c r="BM136" s="154"/>
      <c r="BN136" s="154"/>
      <c r="BO136" s="154"/>
      <c r="BP136" s="154"/>
      <c r="BQ136" s="154"/>
      <c r="BR136" s="155">
        <f t="shared" si="67"/>
        <v>844238.77</v>
      </c>
      <c r="BS136" s="198">
        <v>8818.84</v>
      </c>
      <c r="BT136" s="199"/>
      <c r="BU136" s="20">
        <f t="shared" si="68"/>
        <v>314990.02200000006</v>
      </c>
      <c r="BV136" s="231">
        <v>422137.01</v>
      </c>
      <c r="BW136" s="229"/>
      <c r="BX136" s="230"/>
    </row>
    <row r="137" spans="1:76" ht="15.75" customHeight="1">
      <c r="A137" s="1">
        <v>130</v>
      </c>
      <c r="B137" s="1" t="s">
        <v>121</v>
      </c>
      <c r="C137" s="1">
        <v>495</v>
      </c>
      <c r="D137" s="1">
        <v>115.3</v>
      </c>
      <c r="E137" s="1">
        <f t="shared" si="55"/>
        <v>610.3</v>
      </c>
      <c r="F137" s="2">
        <v>13.89</v>
      </c>
      <c r="G137" s="2">
        <f t="shared" si="47"/>
        <v>8477.067</v>
      </c>
      <c r="H137" s="2">
        <f t="shared" si="48"/>
        <v>50862.401999999995</v>
      </c>
      <c r="I137" s="2">
        <f t="shared" si="56"/>
        <v>13.89</v>
      </c>
      <c r="J137" s="2">
        <f t="shared" si="57"/>
        <v>8477.067</v>
      </c>
      <c r="K137" s="2">
        <f t="shared" si="49"/>
        <v>50862.401999999995</v>
      </c>
      <c r="L137" s="97">
        <f t="shared" si="50"/>
        <v>101724.80399999999</v>
      </c>
      <c r="M137" s="109">
        <v>3.92</v>
      </c>
      <c r="N137" s="89">
        <f t="shared" si="58"/>
        <v>28708.511999999995</v>
      </c>
      <c r="O137" s="64">
        <v>1.46</v>
      </c>
      <c r="P137" s="90">
        <f t="shared" si="59"/>
        <v>10692.455999999998</v>
      </c>
      <c r="Q137" s="64"/>
      <c r="R137" s="90">
        <f t="shared" si="60"/>
        <v>0</v>
      </c>
      <c r="S137" s="64"/>
      <c r="T137" s="91">
        <f t="shared" si="61"/>
        <v>0</v>
      </c>
      <c r="U137" s="64">
        <v>0</v>
      </c>
      <c r="V137" s="90">
        <f t="shared" si="62"/>
        <v>0</v>
      </c>
      <c r="W137" s="96"/>
      <c r="X137" s="91">
        <f t="shared" si="63"/>
        <v>0</v>
      </c>
      <c r="Y137" s="110">
        <f t="shared" si="64"/>
        <v>39400.96799999999</v>
      </c>
      <c r="Z137" s="32">
        <v>-136622.3</v>
      </c>
      <c r="AA137" s="12">
        <f t="shared" si="65"/>
        <v>-1.3430578838962424</v>
      </c>
      <c r="AB137" s="25">
        <f t="shared" si="66"/>
        <v>-34897.496</v>
      </c>
      <c r="AC137" s="44"/>
      <c r="AD137" s="8">
        <f t="shared" si="51"/>
        <v>-34897.496</v>
      </c>
      <c r="AE137" s="167">
        <v>22680.192000000003</v>
      </c>
      <c r="AF137" s="168">
        <v>1023.2295788200672</v>
      </c>
      <c r="AG137" s="168">
        <v>866.7864211799332</v>
      </c>
      <c r="AH137" s="168">
        <v>12278.754945840807</v>
      </c>
      <c r="AI137" s="168">
        <v>10401.437054159198</v>
      </c>
      <c r="AJ137" s="58" t="s">
        <v>296</v>
      </c>
      <c r="AK137" s="26" t="s">
        <v>352</v>
      </c>
      <c r="AL137" s="45">
        <v>37322.09</v>
      </c>
      <c r="AM137" s="45">
        <v>18509.93</v>
      </c>
      <c r="AN137" s="2">
        <v>66069</v>
      </c>
      <c r="AO137" s="2">
        <v>1896.12</v>
      </c>
      <c r="AP137" s="1">
        <v>1461.78</v>
      </c>
      <c r="AQ137" s="1">
        <v>1896.12</v>
      </c>
      <c r="AR137" s="24">
        <v>1217</v>
      </c>
      <c r="AS137" s="24">
        <v>2594.62</v>
      </c>
      <c r="AT137" s="1">
        <v>0</v>
      </c>
      <c r="AU137" s="1">
        <v>1896.12</v>
      </c>
      <c r="AV137" s="24">
        <v>0</v>
      </c>
      <c r="AW137" s="24">
        <v>3829.39</v>
      </c>
      <c r="AX137" s="45">
        <v>0</v>
      </c>
      <c r="AY137" s="45">
        <v>5714.13</v>
      </c>
      <c r="AZ137" s="24">
        <v>15742.24</v>
      </c>
      <c r="BA137" s="24">
        <v>1896.12</v>
      </c>
      <c r="BB137" s="24">
        <v>1083.13</v>
      </c>
      <c r="BC137" s="24">
        <v>72355.21</v>
      </c>
      <c r="BD137" s="24">
        <v>0</v>
      </c>
      <c r="BE137" s="24">
        <v>7139.08</v>
      </c>
      <c r="BF137" s="24">
        <v>0</v>
      </c>
      <c r="BG137" s="24">
        <v>3404.12</v>
      </c>
      <c r="BH137" s="24">
        <v>5670.17</v>
      </c>
      <c r="BI137" s="24">
        <v>1896.12</v>
      </c>
      <c r="BJ137" s="9">
        <f t="shared" si="52"/>
        <v>128565.41</v>
      </c>
      <c r="BK137" s="9">
        <f t="shared" si="53"/>
        <v>123027.08</v>
      </c>
      <c r="BL137" s="153">
        <f t="shared" si="54"/>
        <v>251592.49</v>
      </c>
      <c r="BM137" s="154">
        <v>25213</v>
      </c>
      <c r="BN137" s="154">
        <v>4073</v>
      </c>
      <c r="BO137" s="154"/>
      <c r="BP137" s="154"/>
      <c r="BQ137" s="154"/>
      <c r="BR137" s="155">
        <f t="shared" si="67"/>
        <v>280878.49</v>
      </c>
      <c r="BS137" s="154">
        <f>1757.66+1336.56</f>
        <v>3094.2200000000003</v>
      </c>
      <c r="BT137" s="199"/>
      <c r="BU137" s="20">
        <f t="shared" si="68"/>
        <v>-312681.766</v>
      </c>
      <c r="BV137" s="231">
        <v>116220.96</v>
      </c>
      <c r="BW137" s="229"/>
      <c r="BX137" s="230"/>
    </row>
    <row r="138" spans="1:76" ht="15.75" customHeight="1">
      <c r="A138" s="1">
        <v>131</v>
      </c>
      <c r="B138" s="1" t="s">
        <v>122</v>
      </c>
      <c r="C138" s="1">
        <v>473.8</v>
      </c>
      <c r="D138" s="1">
        <v>0</v>
      </c>
      <c r="E138" s="1">
        <f t="shared" si="55"/>
        <v>473.8</v>
      </c>
      <c r="F138" s="2">
        <v>13.89</v>
      </c>
      <c r="G138" s="2">
        <f t="shared" si="47"/>
        <v>6581.082</v>
      </c>
      <c r="H138" s="2">
        <f t="shared" si="48"/>
        <v>39486.492</v>
      </c>
      <c r="I138" s="2">
        <f t="shared" si="56"/>
        <v>13.89</v>
      </c>
      <c r="J138" s="2">
        <f t="shared" si="57"/>
        <v>6581.082</v>
      </c>
      <c r="K138" s="2">
        <f t="shared" si="49"/>
        <v>39486.492</v>
      </c>
      <c r="L138" s="97">
        <f t="shared" si="50"/>
        <v>78972.984</v>
      </c>
      <c r="M138" s="109">
        <v>3.92</v>
      </c>
      <c r="N138" s="89">
        <f t="shared" si="58"/>
        <v>22287.552</v>
      </c>
      <c r="O138" s="64">
        <v>1.46</v>
      </c>
      <c r="P138" s="90">
        <f t="shared" si="59"/>
        <v>8300.976</v>
      </c>
      <c r="Q138" s="64"/>
      <c r="R138" s="90">
        <f t="shared" si="60"/>
        <v>0</v>
      </c>
      <c r="S138" s="64"/>
      <c r="T138" s="91">
        <f t="shared" si="61"/>
        <v>0</v>
      </c>
      <c r="U138" s="64">
        <v>0</v>
      </c>
      <c r="V138" s="90">
        <f t="shared" si="62"/>
        <v>0</v>
      </c>
      <c r="W138" s="96"/>
      <c r="X138" s="91">
        <f t="shared" si="63"/>
        <v>0</v>
      </c>
      <c r="Y138" s="110">
        <f t="shared" si="64"/>
        <v>30588.528</v>
      </c>
      <c r="Z138" s="32"/>
      <c r="AA138" s="12">
        <f t="shared" si="65"/>
        <v>0</v>
      </c>
      <c r="AB138" s="25">
        <f t="shared" si="66"/>
        <v>78972.984</v>
      </c>
      <c r="AC138" s="44"/>
      <c r="AD138" s="8">
        <f t="shared" si="51"/>
        <v>78972.984</v>
      </c>
      <c r="AE138" s="167">
        <v>33348.528</v>
      </c>
      <c r="AF138" s="168">
        <v>3530.47628125</v>
      </c>
      <c r="AG138" s="168">
        <v>3050.6057187499996</v>
      </c>
      <c r="AH138" s="168">
        <v>42365.715375</v>
      </c>
      <c r="AI138" s="168">
        <v>36607.268625</v>
      </c>
      <c r="AJ138" s="26"/>
      <c r="AK138" s="26"/>
      <c r="AL138" s="45">
        <v>15857.48</v>
      </c>
      <c r="AM138" s="45">
        <v>15677.29</v>
      </c>
      <c r="AN138" s="2">
        <v>852.12</v>
      </c>
      <c r="AO138" s="2">
        <v>1522.38</v>
      </c>
      <c r="AP138" s="1">
        <v>852.12</v>
      </c>
      <c r="AQ138" s="1">
        <v>1522.38</v>
      </c>
      <c r="AR138" s="24">
        <v>2069.12</v>
      </c>
      <c r="AS138" s="24">
        <v>2220.88</v>
      </c>
      <c r="AT138" s="1">
        <v>1585.89</v>
      </c>
      <c r="AU138" s="1">
        <v>1522.38</v>
      </c>
      <c r="AV138" s="24">
        <v>1585.89</v>
      </c>
      <c r="AW138" s="24">
        <v>1522.38</v>
      </c>
      <c r="AX138" s="45">
        <v>1585.89</v>
      </c>
      <c r="AY138" s="45">
        <v>1522.38</v>
      </c>
      <c r="AZ138" s="24">
        <v>1585.89</v>
      </c>
      <c r="BA138" s="24">
        <v>1522.38</v>
      </c>
      <c r="BB138" s="24">
        <v>2535.89</v>
      </c>
      <c r="BC138" s="24">
        <v>1522.38</v>
      </c>
      <c r="BD138" s="24">
        <v>852.12</v>
      </c>
      <c r="BE138" s="24">
        <v>1522.38</v>
      </c>
      <c r="BF138" s="24">
        <v>852.12</v>
      </c>
      <c r="BG138" s="24">
        <v>3030.38</v>
      </c>
      <c r="BH138" s="24">
        <v>2216.56</v>
      </c>
      <c r="BI138" s="24">
        <v>1522.38</v>
      </c>
      <c r="BJ138" s="9">
        <f t="shared" si="52"/>
        <v>32431.089999999993</v>
      </c>
      <c r="BK138" s="9">
        <f t="shared" si="53"/>
        <v>34629.97000000001</v>
      </c>
      <c r="BL138" s="153">
        <f t="shared" si="54"/>
        <v>67061.06</v>
      </c>
      <c r="BM138" s="154"/>
      <c r="BN138" s="154"/>
      <c r="BO138" s="154"/>
      <c r="BP138" s="154"/>
      <c r="BQ138" s="154"/>
      <c r="BR138" s="155">
        <f t="shared" si="67"/>
        <v>67061.06</v>
      </c>
      <c r="BS138" s="154">
        <f>1364.54+1034.62</f>
        <v>2399.16</v>
      </c>
      <c r="BT138" s="199"/>
      <c r="BU138" s="20">
        <f t="shared" si="68"/>
        <v>14311.083999999999</v>
      </c>
      <c r="BV138" s="231">
        <v>147528.54</v>
      </c>
      <c r="BW138" s="229"/>
      <c r="BX138" s="230"/>
    </row>
    <row r="139" spans="1:76" ht="15.75" customHeight="1">
      <c r="A139" s="1">
        <v>132</v>
      </c>
      <c r="B139" s="1" t="s">
        <v>123</v>
      </c>
      <c r="C139" s="1">
        <v>2768.4</v>
      </c>
      <c r="D139" s="1">
        <v>800.1</v>
      </c>
      <c r="E139" s="1">
        <f t="shared" si="55"/>
        <v>3568.5</v>
      </c>
      <c r="F139" s="2">
        <v>14.56</v>
      </c>
      <c r="G139" s="2">
        <f t="shared" si="47"/>
        <v>51957.36</v>
      </c>
      <c r="H139" s="2">
        <f t="shared" si="48"/>
        <v>311744.16000000003</v>
      </c>
      <c r="I139" s="2">
        <f t="shared" si="56"/>
        <v>14.56</v>
      </c>
      <c r="J139" s="2">
        <f t="shared" si="57"/>
        <v>51957.36</v>
      </c>
      <c r="K139" s="2">
        <f t="shared" si="49"/>
        <v>311744.16000000003</v>
      </c>
      <c r="L139" s="97">
        <f t="shared" si="50"/>
        <v>623488.3200000001</v>
      </c>
      <c r="M139" s="109">
        <v>3.92</v>
      </c>
      <c r="N139" s="89">
        <f t="shared" si="58"/>
        <v>167862.24</v>
      </c>
      <c r="O139" s="64">
        <v>1.46</v>
      </c>
      <c r="P139" s="90">
        <f t="shared" si="59"/>
        <v>62520.12</v>
      </c>
      <c r="Q139" s="64"/>
      <c r="R139" s="90">
        <f t="shared" si="60"/>
        <v>0</v>
      </c>
      <c r="S139" s="64"/>
      <c r="T139" s="91">
        <f t="shared" si="61"/>
        <v>0</v>
      </c>
      <c r="U139" s="64">
        <v>0.45</v>
      </c>
      <c r="V139" s="90">
        <f t="shared" si="62"/>
        <v>19269.9</v>
      </c>
      <c r="W139" s="96"/>
      <c r="X139" s="91">
        <f t="shared" si="63"/>
        <v>0</v>
      </c>
      <c r="Y139" s="110">
        <f t="shared" si="64"/>
        <v>249652.25999999998</v>
      </c>
      <c r="Z139" s="32"/>
      <c r="AA139" s="12">
        <f t="shared" si="65"/>
        <v>0</v>
      </c>
      <c r="AB139" s="25">
        <f t="shared" si="66"/>
        <v>623488.3200000001</v>
      </c>
      <c r="AC139" s="44"/>
      <c r="AD139" s="8">
        <f t="shared" si="51"/>
        <v>623488.3200000001</v>
      </c>
      <c r="AE139" s="167">
        <v>233142.36000000004</v>
      </c>
      <c r="AF139" s="168">
        <v>0</v>
      </c>
      <c r="AG139" s="168">
        <v>51957.36000000001</v>
      </c>
      <c r="AH139" s="168">
        <v>0</v>
      </c>
      <c r="AI139" s="168">
        <v>623488.3200000001</v>
      </c>
      <c r="AJ139" s="59"/>
      <c r="AK139" s="59"/>
      <c r="AL139" s="45">
        <v>0</v>
      </c>
      <c r="AM139" s="45">
        <v>53327.47</v>
      </c>
      <c r="AN139" s="2">
        <v>0</v>
      </c>
      <c r="AO139" s="2">
        <v>19323.76</v>
      </c>
      <c r="AP139" s="1">
        <v>0</v>
      </c>
      <c r="AQ139" s="1">
        <v>24610.92</v>
      </c>
      <c r="AR139" s="24">
        <v>0</v>
      </c>
      <c r="AS139" s="24">
        <v>352649.37</v>
      </c>
      <c r="AT139" s="1">
        <v>0</v>
      </c>
      <c r="AU139" s="1">
        <v>226258.03</v>
      </c>
      <c r="AV139" s="24">
        <v>0</v>
      </c>
      <c r="AW139" s="24">
        <v>231735.87</v>
      </c>
      <c r="AX139" s="45">
        <v>0</v>
      </c>
      <c r="AY139" s="45">
        <v>321212.13</v>
      </c>
      <c r="AZ139" s="24">
        <v>0</v>
      </c>
      <c r="BA139" s="24">
        <v>36462.31</v>
      </c>
      <c r="BB139" s="24">
        <v>0</v>
      </c>
      <c r="BC139" s="24">
        <v>51014.18</v>
      </c>
      <c r="BD139" s="24">
        <v>0</v>
      </c>
      <c r="BE139" s="24">
        <v>21471.83</v>
      </c>
      <c r="BF139" s="24">
        <v>0</v>
      </c>
      <c r="BG139" s="24">
        <v>23821.09</v>
      </c>
      <c r="BH139" s="24">
        <v>0</v>
      </c>
      <c r="BI139" s="24">
        <v>18944.32</v>
      </c>
      <c r="BJ139" s="9">
        <f t="shared" si="52"/>
        <v>0</v>
      </c>
      <c r="BK139" s="9">
        <f t="shared" si="53"/>
        <v>1380831.2800000003</v>
      </c>
      <c r="BL139" s="153">
        <f t="shared" si="54"/>
        <v>1380831.2800000003</v>
      </c>
      <c r="BM139" s="154"/>
      <c r="BN139" s="154"/>
      <c r="BO139" s="154"/>
      <c r="BP139" s="154"/>
      <c r="BQ139" s="154"/>
      <c r="BR139" s="155">
        <f t="shared" si="67"/>
        <v>1380831.2800000003</v>
      </c>
      <c r="BS139" s="198">
        <v>2605.01</v>
      </c>
      <c r="BT139" s="199">
        <v>4128</v>
      </c>
      <c r="BU139" s="20">
        <f t="shared" si="68"/>
        <v>-754737.9500000002</v>
      </c>
      <c r="BV139" s="231">
        <v>377491.82</v>
      </c>
      <c r="BW139" s="229"/>
      <c r="BX139" s="230"/>
    </row>
    <row r="140" spans="1:76" ht="15.75" customHeight="1">
      <c r="A140" s="1">
        <v>133</v>
      </c>
      <c r="B140" s="1" t="s">
        <v>124</v>
      </c>
      <c r="C140" s="1">
        <v>402.2</v>
      </c>
      <c r="D140" s="1">
        <v>0</v>
      </c>
      <c r="E140" s="1">
        <f t="shared" si="55"/>
        <v>402.2</v>
      </c>
      <c r="F140" s="2">
        <v>13.89</v>
      </c>
      <c r="G140" s="2">
        <f t="shared" si="47"/>
        <v>5586.558</v>
      </c>
      <c r="H140" s="2">
        <f t="shared" si="48"/>
        <v>33519.348</v>
      </c>
      <c r="I140" s="2">
        <f t="shared" si="56"/>
        <v>13.89</v>
      </c>
      <c r="J140" s="2">
        <f t="shared" si="57"/>
        <v>5586.558</v>
      </c>
      <c r="K140" s="2">
        <f t="shared" si="49"/>
        <v>33519.348</v>
      </c>
      <c r="L140" s="97">
        <f t="shared" si="50"/>
        <v>67038.696</v>
      </c>
      <c r="M140" s="109">
        <v>3.92</v>
      </c>
      <c r="N140" s="89">
        <f t="shared" si="58"/>
        <v>18919.488</v>
      </c>
      <c r="O140" s="64">
        <v>1.46</v>
      </c>
      <c r="P140" s="90">
        <f t="shared" si="59"/>
        <v>7046.544</v>
      </c>
      <c r="Q140" s="64"/>
      <c r="R140" s="90">
        <f t="shared" si="60"/>
        <v>0</v>
      </c>
      <c r="S140" s="64"/>
      <c r="T140" s="91">
        <f t="shared" si="61"/>
        <v>0</v>
      </c>
      <c r="U140" s="64">
        <v>3.71</v>
      </c>
      <c r="V140" s="90">
        <f t="shared" si="62"/>
        <v>17905.944</v>
      </c>
      <c r="W140" s="96"/>
      <c r="X140" s="91">
        <f t="shared" si="63"/>
        <v>0</v>
      </c>
      <c r="Y140" s="110">
        <f t="shared" si="64"/>
        <v>43871.975999999995</v>
      </c>
      <c r="Z140" s="32"/>
      <c r="AA140" s="12">
        <f t="shared" si="65"/>
        <v>0</v>
      </c>
      <c r="AB140" s="25">
        <f t="shared" si="66"/>
        <v>67038.696</v>
      </c>
      <c r="AC140" s="44"/>
      <c r="AD140" s="8">
        <f t="shared" si="51"/>
        <v>67038.696</v>
      </c>
      <c r="AE140" s="167">
        <v>13127.808</v>
      </c>
      <c r="AF140" s="168">
        <v>0</v>
      </c>
      <c r="AG140" s="168">
        <v>5586.558</v>
      </c>
      <c r="AH140" s="168">
        <v>0</v>
      </c>
      <c r="AI140" s="168">
        <v>67038.696</v>
      </c>
      <c r="AJ140" s="58" t="s">
        <v>296</v>
      </c>
      <c r="AK140" s="26"/>
      <c r="AL140" s="45">
        <v>0</v>
      </c>
      <c r="AM140" s="45">
        <v>1098.01</v>
      </c>
      <c r="AN140" s="2">
        <v>0</v>
      </c>
      <c r="AO140" s="2">
        <v>2431.2</v>
      </c>
      <c r="AP140" s="1">
        <v>0</v>
      </c>
      <c r="AQ140" s="1">
        <v>1098.01</v>
      </c>
      <c r="AR140" s="24">
        <v>0</v>
      </c>
      <c r="AS140" s="24">
        <v>6098.22</v>
      </c>
      <c r="AT140" s="1">
        <v>0</v>
      </c>
      <c r="AU140" s="1">
        <v>1098.01</v>
      </c>
      <c r="AV140" s="24">
        <v>0</v>
      </c>
      <c r="AW140" s="24">
        <v>2200.67</v>
      </c>
      <c r="AX140" s="45">
        <v>0</v>
      </c>
      <c r="AY140" s="45">
        <v>6768.95</v>
      </c>
      <c r="AZ140" s="24">
        <v>0</v>
      </c>
      <c r="BA140" s="24">
        <v>1098.01</v>
      </c>
      <c r="BB140" s="24">
        <v>0</v>
      </c>
      <c r="BC140" s="24">
        <v>2702.82</v>
      </c>
      <c r="BD140" s="24">
        <v>0</v>
      </c>
      <c r="BE140" s="24">
        <v>4117.41</v>
      </c>
      <c r="BF140" s="24">
        <v>0</v>
      </c>
      <c r="BG140" s="24">
        <v>7285.01</v>
      </c>
      <c r="BH140" s="24">
        <v>0</v>
      </c>
      <c r="BI140" s="24">
        <v>4117.41</v>
      </c>
      <c r="BJ140" s="9">
        <f t="shared" si="52"/>
        <v>0</v>
      </c>
      <c r="BK140" s="9">
        <f t="shared" si="53"/>
        <v>40113.729999999996</v>
      </c>
      <c r="BL140" s="153">
        <f t="shared" si="54"/>
        <v>40113.729999999996</v>
      </c>
      <c r="BM140" s="154"/>
      <c r="BN140" s="154"/>
      <c r="BO140" s="154"/>
      <c r="BP140" s="154"/>
      <c r="BQ140" s="154"/>
      <c r="BR140" s="155">
        <f t="shared" si="67"/>
        <v>40113.729999999996</v>
      </c>
      <c r="BS140" s="198">
        <v>587.94</v>
      </c>
      <c r="BT140" s="199">
        <v>13826</v>
      </c>
      <c r="BU140" s="20">
        <f t="shared" si="68"/>
        <v>27512.906</v>
      </c>
      <c r="BV140" s="231">
        <v>11037.8</v>
      </c>
      <c r="BW140" s="229"/>
      <c r="BX140" s="230"/>
    </row>
    <row r="141" spans="1:76" ht="15.75" customHeight="1">
      <c r="A141" s="1">
        <v>134</v>
      </c>
      <c r="B141" s="1" t="s">
        <v>125</v>
      </c>
      <c r="C141" s="1">
        <v>3974.5</v>
      </c>
      <c r="D141" s="1">
        <v>824.9</v>
      </c>
      <c r="E141" s="1">
        <f t="shared" si="55"/>
        <v>4799.4</v>
      </c>
      <c r="F141" s="2">
        <v>15.22</v>
      </c>
      <c r="G141" s="2">
        <f t="shared" si="47"/>
        <v>73046.868</v>
      </c>
      <c r="H141" s="2">
        <f t="shared" si="48"/>
        <v>438281.208</v>
      </c>
      <c r="I141" s="2">
        <f t="shared" si="56"/>
        <v>15.22</v>
      </c>
      <c r="J141" s="2">
        <f t="shared" si="57"/>
        <v>73046.868</v>
      </c>
      <c r="K141" s="2">
        <f t="shared" si="49"/>
        <v>438281.208</v>
      </c>
      <c r="L141" s="97">
        <f t="shared" si="50"/>
        <v>876562.416</v>
      </c>
      <c r="M141" s="109">
        <v>3.92</v>
      </c>
      <c r="N141" s="89">
        <f t="shared" si="58"/>
        <v>225763.77599999995</v>
      </c>
      <c r="O141" s="64">
        <v>1.46</v>
      </c>
      <c r="P141" s="90">
        <f t="shared" si="59"/>
        <v>84085.48799999998</v>
      </c>
      <c r="Q141" s="64"/>
      <c r="R141" s="90">
        <f t="shared" si="60"/>
        <v>0</v>
      </c>
      <c r="S141" s="64"/>
      <c r="T141" s="91">
        <f t="shared" si="61"/>
        <v>0</v>
      </c>
      <c r="U141" s="64">
        <v>0.31</v>
      </c>
      <c r="V141" s="90">
        <f t="shared" si="62"/>
        <v>17853.767999999996</v>
      </c>
      <c r="W141" s="96"/>
      <c r="X141" s="91">
        <f t="shared" si="63"/>
        <v>0</v>
      </c>
      <c r="Y141" s="110">
        <f t="shared" si="64"/>
        <v>327703.03199999995</v>
      </c>
      <c r="Z141" s="32">
        <v>-30598.69</v>
      </c>
      <c r="AA141" s="12">
        <f t="shared" si="65"/>
        <v>-0.034907599780093695</v>
      </c>
      <c r="AB141" s="25">
        <f t="shared" si="66"/>
        <v>845963.726</v>
      </c>
      <c r="AC141" s="44"/>
      <c r="AD141" s="8">
        <f t="shared" si="51"/>
        <v>845963.726</v>
      </c>
      <c r="AE141" s="167">
        <v>315369.264</v>
      </c>
      <c r="AF141" s="168">
        <v>0</v>
      </c>
      <c r="AG141" s="168">
        <v>70496.97716666666</v>
      </c>
      <c r="AH141" s="168">
        <v>0</v>
      </c>
      <c r="AI141" s="168">
        <v>845963.726</v>
      </c>
      <c r="AJ141" s="59"/>
      <c r="AK141" s="59"/>
      <c r="AL141" s="45">
        <v>0</v>
      </c>
      <c r="AM141" s="45">
        <v>72301.15</v>
      </c>
      <c r="AN141" s="2">
        <v>0</v>
      </c>
      <c r="AO141" s="2">
        <v>40219.84</v>
      </c>
      <c r="AP141" s="1">
        <v>0</v>
      </c>
      <c r="AQ141" s="1">
        <v>29567.04</v>
      </c>
      <c r="AR141" s="24">
        <v>0</v>
      </c>
      <c r="AS141" s="24">
        <v>50051.79</v>
      </c>
      <c r="AT141" s="1">
        <v>0</v>
      </c>
      <c r="AU141" s="1">
        <v>53327.53</v>
      </c>
      <c r="AV141" s="24">
        <v>0</v>
      </c>
      <c r="AW141" s="24">
        <v>36355.99</v>
      </c>
      <c r="AX141" s="45">
        <v>0</v>
      </c>
      <c r="AY141" s="45">
        <v>47141.58</v>
      </c>
      <c r="AZ141" s="24">
        <v>0</v>
      </c>
      <c r="BA141" s="24">
        <v>145627.83</v>
      </c>
      <c r="BB141" s="24">
        <v>0</v>
      </c>
      <c r="BC141" s="24">
        <v>65274.5</v>
      </c>
      <c r="BD141" s="24">
        <v>0</v>
      </c>
      <c r="BE141" s="24">
        <v>28336.84</v>
      </c>
      <c r="BF141" s="24">
        <v>0</v>
      </c>
      <c r="BG141" s="24">
        <v>85011.47</v>
      </c>
      <c r="BH141" s="24">
        <v>0</v>
      </c>
      <c r="BI141" s="24">
        <v>82878.49</v>
      </c>
      <c r="BJ141" s="9">
        <f t="shared" si="52"/>
        <v>0</v>
      </c>
      <c r="BK141" s="9">
        <f t="shared" si="53"/>
        <v>736094.0499999999</v>
      </c>
      <c r="BL141" s="153">
        <f t="shared" si="54"/>
        <v>736094.0499999999</v>
      </c>
      <c r="BM141" s="154"/>
      <c r="BN141" s="154"/>
      <c r="BO141" s="154"/>
      <c r="BP141" s="154"/>
      <c r="BQ141" s="154"/>
      <c r="BR141" s="155">
        <f t="shared" si="67"/>
        <v>736094.0499999999</v>
      </c>
      <c r="BS141" s="198">
        <v>3504.66</v>
      </c>
      <c r="BT141" s="199"/>
      <c r="BU141" s="20">
        <f t="shared" si="68"/>
        <v>113374.3360000001</v>
      </c>
      <c r="BV141" s="231">
        <v>632164.54</v>
      </c>
      <c r="BW141" s="229"/>
      <c r="BX141" s="230"/>
    </row>
    <row r="142" spans="1:76" ht="15.75" customHeight="1">
      <c r="A142" s="1">
        <v>135</v>
      </c>
      <c r="B142" s="1" t="s">
        <v>126</v>
      </c>
      <c r="C142" s="1">
        <v>504.9</v>
      </c>
      <c r="D142" s="1">
        <v>284.8</v>
      </c>
      <c r="E142" s="1">
        <f t="shared" si="55"/>
        <v>789.7</v>
      </c>
      <c r="F142" s="2">
        <v>9.71</v>
      </c>
      <c r="G142" s="2">
        <f t="shared" si="47"/>
        <v>7667.987000000001</v>
      </c>
      <c r="H142" s="2">
        <f t="shared" si="48"/>
        <v>46007.922000000006</v>
      </c>
      <c r="I142" s="2">
        <f t="shared" si="56"/>
        <v>9.71</v>
      </c>
      <c r="J142" s="2">
        <f t="shared" si="57"/>
        <v>7667.987000000001</v>
      </c>
      <c r="K142" s="2">
        <f t="shared" si="49"/>
        <v>46007.922000000006</v>
      </c>
      <c r="L142" s="97">
        <f t="shared" si="50"/>
        <v>92015.84400000001</v>
      </c>
      <c r="M142" s="109">
        <v>3.92</v>
      </c>
      <c r="N142" s="89">
        <f t="shared" si="58"/>
        <v>37147.488000000005</v>
      </c>
      <c r="O142" s="64">
        <v>1.46</v>
      </c>
      <c r="P142" s="90">
        <f t="shared" si="59"/>
        <v>13835.544</v>
      </c>
      <c r="Q142" s="64"/>
      <c r="R142" s="90">
        <f t="shared" si="60"/>
        <v>0</v>
      </c>
      <c r="S142" s="64"/>
      <c r="T142" s="91">
        <f t="shared" si="61"/>
        <v>0</v>
      </c>
      <c r="U142" s="64">
        <v>0</v>
      </c>
      <c r="V142" s="90">
        <f t="shared" si="62"/>
        <v>0</v>
      </c>
      <c r="W142" s="96"/>
      <c r="X142" s="91">
        <f t="shared" si="63"/>
        <v>0</v>
      </c>
      <c r="Y142" s="110">
        <f t="shared" si="64"/>
        <v>50983.03200000001</v>
      </c>
      <c r="Z142" s="32"/>
      <c r="AA142" s="12">
        <f t="shared" si="65"/>
        <v>0</v>
      </c>
      <c r="AB142" s="25">
        <f t="shared" si="66"/>
        <v>92015.84400000001</v>
      </c>
      <c r="AC142" s="44"/>
      <c r="AD142" s="8">
        <f t="shared" si="51"/>
        <v>92015.84400000001</v>
      </c>
      <c r="AE142" s="167">
        <v>25775.808000000005</v>
      </c>
      <c r="AF142" s="168">
        <v>0</v>
      </c>
      <c r="AG142" s="168">
        <v>7667.987000000001</v>
      </c>
      <c r="AH142" s="168">
        <v>0</v>
      </c>
      <c r="AI142" s="168">
        <v>92015.84400000001</v>
      </c>
      <c r="AJ142" s="59" t="s">
        <v>299</v>
      </c>
      <c r="AK142" s="59"/>
      <c r="AL142" s="45">
        <v>0</v>
      </c>
      <c r="AM142" s="45">
        <v>3755.19</v>
      </c>
      <c r="AN142" s="2">
        <v>0</v>
      </c>
      <c r="AO142" s="2">
        <v>3489.07</v>
      </c>
      <c r="AP142" s="1">
        <v>0</v>
      </c>
      <c r="AQ142" s="1">
        <v>2155.88</v>
      </c>
      <c r="AR142" s="24">
        <v>0</v>
      </c>
      <c r="AS142" s="24">
        <v>2854.38</v>
      </c>
      <c r="AT142" s="1">
        <v>0</v>
      </c>
      <c r="AU142" s="1">
        <v>2155.88</v>
      </c>
      <c r="AV142" s="24">
        <v>0</v>
      </c>
      <c r="AW142" s="24">
        <v>2292.38</v>
      </c>
      <c r="AX142" s="45">
        <v>0</v>
      </c>
      <c r="AY142" s="45">
        <v>2155.88</v>
      </c>
      <c r="AZ142" s="24">
        <v>0</v>
      </c>
      <c r="BA142" s="24">
        <v>2155.88</v>
      </c>
      <c r="BB142" s="24">
        <v>0</v>
      </c>
      <c r="BC142" s="24">
        <v>2155.88</v>
      </c>
      <c r="BD142" s="24">
        <v>0</v>
      </c>
      <c r="BE142" s="24">
        <v>9116.18</v>
      </c>
      <c r="BF142" s="24">
        <v>0</v>
      </c>
      <c r="BG142" s="24">
        <v>6001.28</v>
      </c>
      <c r="BH142" s="24">
        <v>0</v>
      </c>
      <c r="BI142" s="24">
        <v>8721.78</v>
      </c>
      <c r="BJ142" s="9">
        <f t="shared" si="52"/>
        <v>0</v>
      </c>
      <c r="BK142" s="9">
        <f t="shared" si="53"/>
        <v>47009.66</v>
      </c>
      <c r="BL142" s="153">
        <f t="shared" si="54"/>
        <v>47009.66</v>
      </c>
      <c r="BM142" s="154"/>
      <c r="BN142" s="154"/>
      <c r="BO142" s="154"/>
      <c r="BP142" s="154"/>
      <c r="BQ142" s="154"/>
      <c r="BR142" s="155">
        <f t="shared" si="67"/>
        <v>47009.66</v>
      </c>
      <c r="BS142" s="198">
        <v>576.48</v>
      </c>
      <c r="BT142" s="199"/>
      <c r="BU142" s="20">
        <f t="shared" si="68"/>
        <v>45582.66400000001</v>
      </c>
      <c r="BV142" s="231">
        <v>14003.92</v>
      </c>
      <c r="BW142" s="229"/>
      <c r="BX142" s="230"/>
    </row>
    <row r="143" spans="1:76" ht="15.75" customHeight="1">
      <c r="A143" s="1">
        <v>136</v>
      </c>
      <c r="B143" s="1" t="s">
        <v>127</v>
      </c>
      <c r="C143" s="1">
        <v>450.3</v>
      </c>
      <c r="D143" s="1">
        <v>0</v>
      </c>
      <c r="E143" s="1">
        <f t="shared" si="55"/>
        <v>450.3</v>
      </c>
      <c r="F143" s="2">
        <v>13.01</v>
      </c>
      <c r="G143" s="2">
        <f t="shared" si="47"/>
        <v>5858.403</v>
      </c>
      <c r="H143" s="2">
        <f t="shared" si="48"/>
        <v>35150.418000000005</v>
      </c>
      <c r="I143" s="2">
        <f t="shared" si="56"/>
        <v>13.01</v>
      </c>
      <c r="J143" s="2">
        <f t="shared" si="57"/>
        <v>5858.403</v>
      </c>
      <c r="K143" s="2">
        <f t="shared" si="49"/>
        <v>35150.418000000005</v>
      </c>
      <c r="L143" s="97">
        <f t="shared" si="50"/>
        <v>70300.83600000001</v>
      </c>
      <c r="M143" s="109">
        <v>3.92</v>
      </c>
      <c r="N143" s="89">
        <f t="shared" si="58"/>
        <v>21182.112</v>
      </c>
      <c r="O143" s="64">
        <v>1.46</v>
      </c>
      <c r="P143" s="90">
        <f t="shared" si="59"/>
        <v>7889.255999999999</v>
      </c>
      <c r="Q143" s="64"/>
      <c r="R143" s="90">
        <f t="shared" si="60"/>
        <v>0</v>
      </c>
      <c r="S143" s="64"/>
      <c r="T143" s="91">
        <f t="shared" si="61"/>
        <v>0</v>
      </c>
      <c r="U143" s="64">
        <v>0.75</v>
      </c>
      <c r="V143" s="90">
        <f t="shared" si="62"/>
        <v>4052.7000000000003</v>
      </c>
      <c r="W143" s="96"/>
      <c r="X143" s="91">
        <f t="shared" si="63"/>
        <v>0</v>
      </c>
      <c r="Y143" s="110">
        <f t="shared" si="64"/>
        <v>33124.068</v>
      </c>
      <c r="Z143" s="32">
        <v>-13286.84</v>
      </c>
      <c r="AA143" s="12">
        <f t="shared" si="65"/>
        <v>-0.18899974390062727</v>
      </c>
      <c r="AB143" s="25">
        <f t="shared" si="66"/>
        <v>57013.996000000014</v>
      </c>
      <c r="AC143" s="44"/>
      <c r="AD143" s="8">
        <f t="shared" si="51"/>
        <v>57013.996000000014</v>
      </c>
      <c r="AE143" s="167">
        <v>14697.792000000001</v>
      </c>
      <c r="AF143" s="168">
        <v>0</v>
      </c>
      <c r="AG143" s="168">
        <v>4751.1663333333345</v>
      </c>
      <c r="AH143" s="168">
        <v>0</v>
      </c>
      <c r="AI143" s="168">
        <v>57013.996000000014</v>
      </c>
      <c r="AJ143" s="58" t="s">
        <v>296</v>
      </c>
      <c r="AK143" s="59"/>
      <c r="AL143" s="45">
        <v>0</v>
      </c>
      <c r="AM143" s="45">
        <v>2349.32</v>
      </c>
      <c r="AN143" s="2">
        <v>0</v>
      </c>
      <c r="AO143" s="2">
        <v>1229.32</v>
      </c>
      <c r="AP143" s="1">
        <v>0</v>
      </c>
      <c r="AQ143" s="1">
        <v>1744.97</v>
      </c>
      <c r="AR143" s="24">
        <v>0</v>
      </c>
      <c r="AS143" s="24">
        <v>1927.82</v>
      </c>
      <c r="AT143" s="1">
        <v>0</v>
      </c>
      <c r="AU143" s="1">
        <v>1229.32</v>
      </c>
      <c r="AV143" s="24">
        <v>0</v>
      </c>
      <c r="AW143" s="24">
        <v>1229.32</v>
      </c>
      <c r="AX143" s="45">
        <v>0</v>
      </c>
      <c r="AY143" s="45">
        <v>4085.73</v>
      </c>
      <c r="AZ143" s="24">
        <v>0</v>
      </c>
      <c r="BA143" s="24">
        <v>1229.32</v>
      </c>
      <c r="BB143" s="24">
        <v>0</v>
      </c>
      <c r="BC143" s="24">
        <v>3172.57</v>
      </c>
      <c r="BD143" s="24">
        <v>0</v>
      </c>
      <c r="BE143" s="24">
        <v>1229.32</v>
      </c>
      <c r="BF143" s="24">
        <v>0</v>
      </c>
      <c r="BG143" s="24">
        <v>2055.32</v>
      </c>
      <c r="BH143" s="24">
        <v>0</v>
      </c>
      <c r="BI143" s="24">
        <v>22659.92</v>
      </c>
      <c r="BJ143" s="9">
        <f t="shared" si="52"/>
        <v>0</v>
      </c>
      <c r="BK143" s="9">
        <f t="shared" si="53"/>
        <v>44142.25</v>
      </c>
      <c r="BL143" s="153">
        <f t="shared" si="54"/>
        <v>44142.25</v>
      </c>
      <c r="BM143" s="154"/>
      <c r="BN143" s="154">
        <v>5369.01</v>
      </c>
      <c r="BO143" s="154"/>
      <c r="BP143" s="154"/>
      <c r="BQ143" s="154"/>
      <c r="BR143" s="155">
        <f t="shared" si="67"/>
        <v>49511.26</v>
      </c>
      <c r="BS143" s="154">
        <f>1296.86+332.73</f>
        <v>1629.59</v>
      </c>
      <c r="BT143" s="199">
        <v>4128</v>
      </c>
      <c r="BU143" s="20">
        <f t="shared" si="68"/>
        <v>9132.326000000012</v>
      </c>
      <c r="BV143" s="231">
        <v>136473.17</v>
      </c>
      <c r="BW143" s="229"/>
      <c r="BX143" s="230"/>
    </row>
    <row r="144" spans="1:76" ht="15.75">
      <c r="A144" s="1">
        <v>137</v>
      </c>
      <c r="B144" s="1" t="s">
        <v>128</v>
      </c>
      <c r="C144" s="1">
        <v>537.3</v>
      </c>
      <c r="D144" s="1">
        <v>0</v>
      </c>
      <c r="E144" s="1">
        <f t="shared" si="55"/>
        <v>537.3</v>
      </c>
      <c r="F144" s="2">
        <v>10.2</v>
      </c>
      <c r="G144" s="2">
        <f t="shared" si="47"/>
        <v>5480.459999999999</v>
      </c>
      <c r="H144" s="2">
        <f t="shared" si="48"/>
        <v>32882.759999999995</v>
      </c>
      <c r="I144" s="2">
        <f t="shared" si="56"/>
        <v>10.2</v>
      </c>
      <c r="J144" s="2">
        <f t="shared" si="57"/>
        <v>5480.459999999999</v>
      </c>
      <c r="K144" s="2">
        <f t="shared" si="49"/>
        <v>32882.759999999995</v>
      </c>
      <c r="L144" s="97">
        <f t="shared" si="50"/>
        <v>65765.51999999999</v>
      </c>
      <c r="M144" s="109">
        <v>3.92</v>
      </c>
      <c r="N144" s="89">
        <f t="shared" si="58"/>
        <v>25274.591999999997</v>
      </c>
      <c r="O144" s="64">
        <v>1.46</v>
      </c>
      <c r="P144" s="90">
        <f t="shared" si="59"/>
        <v>9413.496</v>
      </c>
      <c r="Q144" s="64"/>
      <c r="R144" s="90">
        <f t="shared" si="60"/>
        <v>0</v>
      </c>
      <c r="S144" s="64"/>
      <c r="T144" s="91">
        <f t="shared" si="61"/>
        <v>0</v>
      </c>
      <c r="U144" s="64"/>
      <c r="V144" s="90">
        <f t="shared" si="62"/>
        <v>0</v>
      </c>
      <c r="W144" s="96"/>
      <c r="X144" s="91">
        <f t="shared" si="63"/>
        <v>0</v>
      </c>
      <c r="Y144" s="110">
        <f t="shared" si="64"/>
        <v>34688.087999999996</v>
      </c>
      <c r="Z144" s="32"/>
      <c r="AA144" s="12">
        <f t="shared" si="65"/>
        <v>0</v>
      </c>
      <c r="AB144" s="25">
        <f t="shared" si="66"/>
        <v>65765.51999999999</v>
      </c>
      <c r="AC144" s="44"/>
      <c r="AD144" s="8">
        <f t="shared" si="51"/>
        <v>65765.51999999999</v>
      </c>
      <c r="AE144" s="167">
        <v>20297.471999999998</v>
      </c>
      <c r="AF144" s="168">
        <v>1700.834162671156</v>
      </c>
      <c r="AG144" s="168">
        <v>3779.6258373288433</v>
      </c>
      <c r="AH144" s="168">
        <v>20410.00995205387</v>
      </c>
      <c r="AI144" s="168">
        <v>45355.51004794612</v>
      </c>
      <c r="AJ144" s="59" t="s">
        <v>299</v>
      </c>
      <c r="AK144" s="59"/>
      <c r="AL144" s="45">
        <v>0</v>
      </c>
      <c r="AM144" s="45">
        <v>2596.83</v>
      </c>
      <c r="AN144" s="2">
        <v>0</v>
      </c>
      <c r="AO144" s="2">
        <v>3030.02</v>
      </c>
      <c r="AP144" s="1">
        <v>0</v>
      </c>
      <c r="AQ144" s="1">
        <v>1950.48</v>
      </c>
      <c r="AR144" s="24">
        <v>0</v>
      </c>
      <c r="AS144" s="24">
        <v>3728.52</v>
      </c>
      <c r="AT144" s="1">
        <v>0</v>
      </c>
      <c r="AU144" s="1">
        <v>1696.83</v>
      </c>
      <c r="AV144" s="24">
        <v>4726.91</v>
      </c>
      <c r="AW144" s="24">
        <v>1696.83</v>
      </c>
      <c r="AX144" s="45">
        <v>0</v>
      </c>
      <c r="AY144" s="45">
        <v>1696.83</v>
      </c>
      <c r="AZ144" s="24">
        <v>0</v>
      </c>
      <c r="BA144" s="24">
        <v>1696.83</v>
      </c>
      <c r="BB144" s="24">
        <v>864</v>
      </c>
      <c r="BC144" s="24">
        <v>1696.83</v>
      </c>
      <c r="BD144" s="24">
        <v>610.5</v>
      </c>
      <c r="BE144" s="24">
        <v>4716.23</v>
      </c>
      <c r="BF144" s="24">
        <v>0</v>
      </c>
      <c r="BG144" s="24">
        <v>7957.75</v>
      </c>
      <c r="BH144" s="24">
        <v>36532.06</v>
      </c>
      <c r="BI144" s="24">
        <v>2775.71</v>
      </c>
      <c r="BJ144" s="9">
        <f t="shared" si="52"/>
        <v>42733.47</v>
      </c>
      <c r="BK144" s="9">
        <f t="shared" si="53"/>
        <v>35239.69</v>
      </c>
      <c r="BL144" s="153">
        <f t="shared" si="54"/>
        <v>77973.16</v>
      </c>
      <c r="BM144" s="154"/>
      <c r="BN144" s="154"/>
      <c r="BO144" s="154"/>
      <c r="BP144" s="154"/>
      <c r="BQ144" s="154"/>
      <c r="BR144" s="155">
        <f t="shared" si="67"/>
        <v>77973.16</v>
      </c>
      <c r="BS144" s="198">
        <v>1568.92</v>
      </c>
      <c r="BT144" s="199">
        <v>4128</v>
      </c>
      <c r="BU144" s="20">
        <f t="shared" si="68"/>
        <v>-10638.720000000014</v>
      </c>
      <c r="BV144" s="231">
        <v>440945.49</v>
      </c>
      <c r="BW144" s="229"/>
      <c r="BX144" s="230"/>
    </row>
    <row r="145" spans="1:76" ht="15.75">
      <c r="A145" s="1">
        <v>138</v>
      </c>
      <c r="B145" s="1" t="s">
        <v>129</v>
      </c>
      <c r="C145" s="1">
        <v>461.5</v>
      </c>
      <c r="D145" s="1">
        <v>0</v>
      </c>
      <c r="E145" s="1">
        <f t="shared" si="55"/>
        <v>461.5</v>
      </c>
      <c r="F145" s="2">
        <v>13.01</v>
      </c>
      <c r="G145" s="2">
        <f t="shared" si="47"/>
        <v>6004.115</v>
      </c>
      <c r="H145" s="2">
        <f t="shared" si="48"/>
        <v>36024.69</v>
      </c>
      <c r="I145" s="2">
        <f t="shared" si="56"/>
        <v>13.01</v>
      </c>
      <c r="J145" s="2">
        <f t="shared" si="57"/>
        <v>6004.115</v>
      </c>
      <c r="K145" s="2">
        <f t="shared" si="49"/>
        <v>36024.69</v>
      </c>
      <c r="L145" s="97">
        <f t="shared" si="50"/>
        <v>72049.38</v>
      </c>
      <c r="M145" s="109">
        <v>3.92</v>
      </c>
      <c r="N145" s="89">
        <f t="shared" si="58"/>
        <v>21708.96</v>
      </c>
      <c r="O145" s="64">
        <v>1.46</v>
      </c>
      <c r="P145" s="90">
        <f t="shared" si="59"/>
        <v>8085.48</v>
      </c>
      <c r="Q145" s="64"/>
      <c r="R145" s="90">
        <f t="shared" si="60"/>
        <v>0</v>
      </c>
      <c r="S145" s="64"/>
      <c r="T145" s="91">
        <f t="shared" si="61"/>
        <v>0</v>
      </c>
      <c r="U145" s="64">
        <v>0</v>
      </c>
      <c r="V145" s="90">
        <f t="shared" si="62"/>
        <v>0</v>
      </c>
      <c r="W145" s="96"/>
      <c r="X145" s="91">
        <f t="shared" si="63"/>
        <v>0</v>
      </c>
      <c r="Y145" s="110">
        <f t="shared" si="64"/>
        <v>29794.44</v>
      </c>
      <c r="Z145" s="32"/>
      <c r="AA145" s="12">
        <f t="shared" si="65"/>
        <v>0</v>
      </c>
      <c r="AB145" s="25">
        <f t="shared" si="66"/>
        <v>72049.38</v>
      </c>
      <c r="AC145" s="44"/>
      <c r="AD145" s="8">
        <f t="shared" si="51"/>
        <v>72049.38</v>
      </c>
      <c r="AE145" s="167">
        <v>15063.360000000002</v>
      </c>
      <c r="AF145" s="168">
        <v>0</v>
      </c>
      <c r="AG145" s="168">
        <v>6004.115000000001</v>
      </c>
      <c r="AH145" s="168">
        <v>0</v>
      </c>
      <c r="AI145" s="168">
        <v>72049.38</v>
      </c>
      <c r="AJ145" s="59" t="s">
        <v>296</v>
      </c>
      <c r="AK145" s="58"/>
      <c r="AL145" s="45">
        <v>0</v>
      </c>
      <c r="AM145" s="45">
        <v>1259.35</v>
      </c>
      <c r="AN145" s="2">
        <v>0</v>
      </c>
      <c r="AO145" s="2">
        <v>1259.35</v>
      </c>
      <c r="AP145" s="1">
        <v>0</v>
      </c>
      <c r="AQ145" s="1">
        <v>12238.43</v>
      </c>
      <c r="AR145" s="24">
        <v>0</v>
      </c>
      <c r="AS145" s="24">
        <v>43831.84</v>
      </c>
      <c r="AT145" s="1">
        <v>0</v>
      </c>
      <c r="AU145" s="1">
        <v>5608.28</v>
      </c>
      <c r="AV145" s="24">
        <v>0</v>
      </c>
      <c r="AW145" s="24">
        <v>16479.47</v>
      </c>
      <c r="AX145" s="45">
        <v>0</v>
      </c>
      <c r="AY145" s="45">
        <v>27039.63</v>
      </c>
      <c r="AZ145" s="24">
        <v>0</v>
      </c>
      <c r="BA145" s="24">
        <v>1259.35</v>
      </c>
      <c r="BB145" s="24">
        <v>0</v>
      </c>
      <c r="BC145" s="24">
        <v>5016.49</v>
      </c>
      <c r="BD145" s="24">
        <v>0</v>
      </c>
      <c r="BE145" s="24">
        <v>1259.35</v>
      </c>
      <c r="BF145" s="24">
        <v>0</v>
      </c>
      <c r="BG145" s="24">
        <v>2085.35</v>
      </c>
      <c r="BH145" s="24">
        <v>0</v>
      </c>
      <c r="BI145" s="24">
        <v>1259.35</v>
      </c>
      <c r="BJ145" s="9">
        <f t="shared" si="52"/>
        <v>0</v>
      </c>
      <c r="BK145" s="9">
        <f t="shared" si="53"/>
        <v>118596.24000000003</v>
      </c>
      <c r="BL145" s="153">
        <f t="shared" si="54"/>
        <v>118596.24000000003</v>
      </c>
      <c r="BM145" s="154"/>
      <c r="BN145" s="154">
        <f>(3463-803.84)</f>
        <v>2659.16</v>
      </c>
      <c r="BO145" s="154"/>
      <c r="BP145" s="154"/>
      <c r="BQ145" s="154"/>
      <c r="BR145" s="155">
        <f t="shared" si="67"/>
        <v>121255.40000000004</v>
      </c>
      <c r="BS145" s="154">
        <f>1329.12+1349.33</f>
        <v>2678.45</v>
      </c>
      <c r="BT145" s="199"/>
      <c r="BU145" s="20">
        <f t="shared" si="68"/>
        <v>-46527.570000000036</v>
      </c>
      <c r="BV145" s="231">
        <v>349275.03</v>
      </c>
      <c r="BW145" s="229"/>
      <c r="BX145" s="230"/>
    </row>
    <row r="146" spans="1:76" ht="15.75" customHeight="1">
      <c r="A146" s="1">
        <v>139</v>
      </c>
      <c r="B146" s="18" t="s">
        <v>130</v>
      </c>
      <c r="C146" s="1">
        <v>1426.5</v>
      </c>
      <c r="D146" s="1">
        <v>337</v>
      </c>
      <c r="E146" s="1">
        <f t="shared" si="55"/>
        <v>1763.5</v>
      </c>
      <c r="F146" s="2">
        <v>14.66</v>
      </c>
      <c r="G146" s="2">
        <f t="shared" si="47"/>
        <v>25852.91</v>
      </c>
      <c r="H146" s="2">
        <f t="shared" si="48"/>
        <v>155117.46</v>
      </c>
      <c r="I146" s="2">
        <f>F146*1</f>
        <v>14.66</v>
      </c>
      <c r="J146" s="2">
        <f t="shared" si="57"/>
        <v>25852.91</v>
      </c>
      <c r="K146" s="2">
        <f t="shared" si="49"/>
        <v>155117.46</v>
      </c>
      <c r="L146" s="97">
        <f t="shared" si="50"/>
        <v>310234.92</v>
      </c>
      <c r="M146" s="109">
        <v>3.92</v>
      </c>
      <c r="N146" s="89">
        <f t="shared" si="58"/>
        <v>82955.04000000001</v>
      </c>
      <c r="O146" s="64">
        <v>1.46</v>
      </c>
      <c r="P146" s="90">
        <f t="shared" si="59"/>
        <v>30896.52</v>
      </c>
      <c r="Q146" s="64"/>
      <c r="R146" s="90">
        <f t="shared" si="60"/>
        <v>0</v>
      </c>
      <c r="S146" s="64"/>
      <c r="T146" s="91">
        <f t="shared" si="61"/>
        <v>0</v>
      </c>
      <c r="U146" s="64">
        <v>0.86</v>
      </c>
      <c r="V146" s="90">
        <f t="shared" si="62"/>
        <v>18199.32</v>
      </c>
      <c r="W146" s="96"/>
      <c r="X146" s="91">
        <f t="shared" si="63"/>
        <v>0</v>
      </c>
      <c r="Y146" s="110">
        <f t="shared" si="64"/>
        <v>132050.88</v>
      </c>
      <c r="Z146" s="32"/>
      <c r="AA146" s="12">
        <f t="shared" si="65"/>
        <v>0</v>
      </c>
      <c r="AB146" s="25">
        <f t="shared" si="66"/>
        <v>310234.92</v>
      </c>
      <c r="AC146" s="44"/>
      <c r="AD146" s="8">
        <f t="shared" si="51"/>
        <v>310234.92</v>
      </c>
      <c r="AE146" s="167">
        <v>60320.64</v>
      </c>
      <c r="AF146" s="168">
        <v>0</v>
      </c>
      <c r="AG146" s="168">
        <v>25852.91</v>
      </c>
      <c r="AH146" s="168">
        <v>0</v>
      </c>
      <c r="AI146" s="168">
        <v>310234.92</v>
      </c>
      <c r="AJ146" s="59" t="s">
        <v>299</v>
      </c>
      <c r="AK146" s="59"/>
      <c r="AL146" s="45">
        <v>0</v>
      </c>
      <c r="AM146" s="45">
        <v>12189.04</v>
      </c>
      <c r="AN146" s="2">
        <v>0</v>
      </c>
      <c r="AO146" s="2">
        <v>9551.85</v>
      </c>
      <c r="AP146" s="1">
        <v>0</v>
      </c>
      <c r="AQ146" s="1">
        <v>18290.23</v>
      </c>
      <c r="AR146" s="24">
        <v>0</v>
      </c>
      <c r="AS146" s="24">
        <v>23970.85</v>
      </c>
      <c r="AT146" s="1">
        <v>0</v>
      </c>
      <c r="AU146" s="1">
        <v>12032.08</v>
      </c>
      <c r="AV146" s="24">
        <v>0</v>
      </c>
      <c r="AW146" s="24">
        <v>17467.54</v>
      </c>
      <c r="AX146" s="45">
        <v>0</v>
      </c>
      <c r="AY146" s="45">
        <v>40478.07</v>
      </c>
      <c r="AZ146" s="24">
        <v>0</v>
      </c>
      <c r="BA146" s="24">
        <v>24548.99</v>
      </c>
      <c r="BB146" s="24">
        <v>0</v>
      </c>
      <c r="BC146" s="24">
        <v>17443.36</v>
      </c>
      <c r="BD146" s="24">
        <v>0</v>
      </c>
      <c r="BE146" s="24">
        <v>59940.45</v>
      </c>
      <c r="BF146" s="24">
        <v>0</v>
      </c>
      <c r="BG146" s="24">
        <v>26669.24</v>
      </c>
      <c r="BH146" s="24">
        <v>0</v>
      </c>
      <c r="BI146" s="24">
        <v>27798.49</v>
      </c>
      <c r="BJ146" s="9">
        <f t="shared" si="52"/>
        <v>0</v>
      </c>
      <c r="BK146" s="9">
        <f t="shared" si="53"/>
        <v>290380.19</v>
      </c>
      <c r="BL146" s="153">
        <f t="shared" si="54"/>
        <v>290380.19</v>
      </c>
      <c r="BM146" s="154"/>
      <c r="BN146" s="154"/>
      <c r="BO146" s="154"/>
      <c r="BP146" s="154"/>
      <c r="BQ146" s="154"/>
      <c r="BR146" s="155">
        <f t="shared" si="67"/>
        <v>290380.19</v>
      </c>
      <c r="BS146" s="198">
        <v>1286.84</v>
      </c>
      <c r="BT146" s="199">
        <v>4128</v>
      </c>
      <c r="BU146" s="20">
        <f t="shared" si="68"/>
        <v>21141.56999999998</v>
      </c>
      <c r="BV146" s="231">
        <v>97245.29</v>
      </c>
      <c r="BW146" s="229"/>
      <c r="BX146" s="230"/>
    </row>
    <row r="147" spans="1:76" ht="15.75" customHeight="1">
      <c r="A147" s="1">
        <v>140</v>
      </c>
      <c r="B147" s="1" t="s">
        <v>131</v>
      </c>
      <c r="C147" s="1">
        <v>629</v>
      </c>
      <c r="D147" s="1">
        <v>0</v>
      </c>
      <c r="E147" s="1">
        <f t="shared" si="55"/>
        <v>629</v>
      </c>
      <c r="F147" s="2">
        <v>13.78</v>
      </c>
      <c r="G147" s="2">
        <f t="shared" si="47"/>
        <v>8667.619999999999</v>
      </c>
      <c r="H147" s="2">
        <f t="shared" si="48"/>
        <v>52005.719999999994</v>
      </c>
      <c r="I147" s="2">
        <f t="shared" si="56"/>
        <v>13.78</v>
      </c>
      <c r="J147" s="2">
        <f t="shared" si="57"/>
        <v>8667.619999999999</v>
      </c>
      <c r="K147" s="2">
        <f t="shared" si="49"/>
        <v>52005.719999999994</v>
      </c>
      <c r="L147" s="97">
        <f t="shared" si="50"/>
        <v>104011.43999999999</v>
      </c>
      <c r="M147" s="109">
        <v>3.92</v>
      </c>
      <c r="N147" s="89">
        <f t="shared" si="58"/>
        <v>29588.159999999996</v>
      </c>
      <c r="O147" s="64">
        <v>1.46</v>
      </c>
      <c r="P147" s="90">
        <f t="shared" si="59"/>
        <v>11020.08</v>
      </c>
      <c r="Q147" s="64"/>
      <c r="R147" s="90">
        <f t="shared" si="60"/>
        <v>0</v>
      </c>
      <c r="S147" s="64"/>
      <c r="T147" s="91">
        <f t="shared" si="61"/>
        <v>0</v>
      </c>
      <c r="U147" s="64">
        <v>0</v>
      </c>
      <c r="V147" s="90">
        <f t="shared" si="62"/>
        <v>0</v>
      </c>
      <c r="W147" s="96"/>
      <c r="X147" s="91">
        <f t="shared" si="63"/>
        <v>0</v>
      </c>
      <c r="Y147" s="110">
        <f t="shared" si="64"/>
        <v>40608.24</v>
      </c>
      <c r="Z147" s="32">
        <v>-47987.5</v>
      </c>
      <c r="AA147" s="12">
        <f t="shared" si="65"/>
        <v>-0.46136751880370086</v>
      </c>
      <c r="AB147" s="25">
        <f t="shared" si="66"/>
        <v>56023.93999999999</v>
      </c>
      <c r="AC147" s="44"/>
      <c r="AD147" s="8">
        <f t="shared" si="51"/>
        <v>56023.93999999999</v>
      </c>
      <c r="AE147" s="167">
        <v>23290.56</v>
      </c>
      <c r="AF147" s="168">
        <v>2506.794401664932</v>
      </c>
      <c r="AG147" s="168">
        <v>2161.867265001734</v>
      </c>
      <c r="AH147" s="168">
        <v>30081.532819979184</v>
      </c>
      <c r="AI147" s="168">
        <v>25942.407180020804</v>
      </c>
      <c r="AJ147" s="59" t="s">
        <v>296</v>
      </c>
      <c r="AK147" s="59"/>
      <c r="AL147" s="45">
        <v>0</v>
      </c>
      <c r="AM147" s="45">
        <v>1947.17</v>
      </c>
      <c r="AN147" s="2">
        <v>18505.36</v>
      </c>
      <c r="AO147" s="2">
        <v>19206.25</v>
      </c>
      <c r="AP147" s="1">
        <v>0</v>
      </c>
      <c r="AQ147" s="1">
        <v>1947.17</v>
      </c>
      <c r="AR147" s="24">
        <v>2692.02</v>
      </c>
      <c r="AS147" s="24">
        <v>2645.67</v>
      </c>
      <c r="AT147" s="1">
        <v>0</v>
      </c>
      <c r="AU147" s="1">
        <v>1947.17</v>
      </c>
      <c r="AV147" s="24">
        <v>40957.67</v>
      </c>
      <c r="AW147" s="24">
        <v>1947.17</v>
      </c>
      <c r="AX147" s="45">
        <v>432</v>
      </c>
      <c r="AY147" s="45">
        <v>1947.17</v>
      </c>
      <c r="AZ147" s="24">
        <v>0</v>
      </c>
      <c r="BA147" s="24">
        <v>3447.17</v>
      </c>
      <c r="BB147" s="24">
        <v>0</v>
      </c>
      <c r="BC147" s="24">
        <v>4966.57</v>
      </c>
      <c r="BD147" s="24">
        <v>1071.99</v>
      </c>
      <c r="BE147" s="24">
        <v>4966.57</v>
      </c>
      <c r="BF147" s="24">
        <v>4307.39</v>
      </c>
      <c r="BG147" s="24">
        <v>6474.57</v>
      </c>
      <c r="BH147" s="24">
        <v>4954.53</v>
      </c>
      <c r="BI147" s="24">
        <v>1947.17</v>
      </c>
      <c r="BJ147" s="9">
        <f t="shared" si="52"/>
        <v>72920.96</v>
      </c>
      <c r="BK147" s="9">
        <f t="shared" si="53"/>
        <v>53389.819999999985</v>
      </c>
      <c r="BL147" s="153">
        <f t="shared" si="54"/>
        <v>126310.78</v>
      </c>
      <c r="BM147" s="154"/>
      <c r="BN147" s="154"/>
      <c r="BO147" s="154"/>
      <c r="BP147" s="154"/>
      <c r="BQ147" s="154"/>
      <c r="BR147" s="155">
        <f t="shared" si="67"/>
        <v>126310.78</v>
      </c>
      <c r="BS147" s="198">
        <v>459.17</v>
      </c>
      <c r="BT147" s="199"/>
      <c r="BU147" s="20">
        <f t="shared" si="68"/>
        <v>-69827.67000000001</v>
      </c>
      <c r="BV147" s="231">
        <v>37817.07</v>
      </c>
      <c r="BW147" s="229"/>
      <c r="BX147" s="230"/>
    </row>
    <row r="148" spans="1:76" ht="15.75" customHeight="1">
      <c r="A148" s="1">
        <v>141</v>
      </c>
      <c r="B148" s="1" t="s">
        <v>132</v>
      </c>
      <c r="C148" s="1">
        <v>2020.2</v>
      </c>
      <c r="D148" s="1">
        <v>0</v>
      </c>
      <c r="E148" s="1">
        <f t="shared" si="55"/>
        <v>2020.2</v>
      </c>
      <c r="F148" s="2">
        <v>14.41</v>
      </c>
      <c r="G148" s="2">
        <f t="shared" si="47"/>
        <v>29111.082000000002</v>
      </c>
      <c r="H148" s="2">
        <f t="shared" si="48"/>
        <v>174666.49200000003</v>
      </c>
      <c r="I148" s="2">
        <f t="shared" si="56"/>
        <v>14.41</v>
      </c>
      <c r="J148" s="2">
        <f t="shared" si="57"/>
        <v>29111.082000000002</v>
      </c>
      <c r="K148" s="2">
        <f t="shared" si="49"/>
        <v>174666.49200000003</v>
      </c>
      <c r="L148" s="97">
        <f t="shared" si="50"/>
        <v>349332.98400000005</v>
      </c>
      <c r="M148" s="109">
        <v>3.92</v>
      </c>
      <c r="N148" s="89">
        <f t="shared" si="58"/>
        <v>95030.208</v>
      </c>
      <c r="O148" s="64">
        <v>1.46</v>
      </c>
      <c r="P148" s="90">
        <f t="shared" si="59"/>
        <v>35393.904</v>
      </c>
      <c r="Q148" s="64"/>
      <c r="R148" s="90">
        <f t="shared" si="60"/>
        <v>0</v>
      </c>
      <c r="S148" s="64"/>
      <c r="T148" s="91">
        <f t="shared" si="61"/>
        <v>0</v>
      </c>
      <c r="U148" s="64">
        <v>0</v>
      </c>
      <c r="V148" s="90">
        <f t="shared" si="62"/>
        <v>0</v>
      </c>
      <c r="W148" s="96"/>
      <c r="X148" s="91">
        <f t="shared" si="63"/>
        <v>0</v>
      </c>
      <c r="Y148" s="110">
        <f t="shared" si="64"/>
        <v>130424.112</v>
      </c>
      <c r="Z148" s="32"/>
      <c r="AA148" s="12">
        <f t="shared" si="65"/>
        <v>0</v>
      </c>
      <c r="AB148" s="25">
        <f t="shared" si="66"/>
        <v>349332.98400000005</v>
      </c>
      <c r="AC148" s="44"/>
      <c r="AD148" s="8">
        <f t="shared" si="51"/>
        <v>349332.98400000005</v>
      </c>
      <c r="AE148" s="167">
        <v>133184.112</v>
      </c>
      <c r="AF148" s="168">
        <v>0</v>
      </c>
      <c r="AG148" s="168">
        <v>29111.082000000006</v>
      </c>
      <c r="AH148" s="168">
        <v>0</v>
      </c>
      <c r="AI148" s="168">
        <v>349332.98400000005</v>
      </c>
      <c r="AJ148" s="59"/>
      <c r="AK148" s="59"/>
      <c r="AL148" s="45">
        <v>0</v>
      </c>
      <c r="AM148" s="45">
        <v>11460.14</v>
      </c>
      <c r="AN148" s="2">
        <v>0</v>
      </c>
      <c r="AO148" s="2">
        <v>58721.99</v>
      </c>
      <c r="AP148" s="1">
        <v>0</v>
      </c>
      <c r="AQ148" s="1">
        <v>11541.51</v>
      </c>
      <c r="AR148" s="24">
        <v>0</v>
      </c>
      <c r="AS148" s="24">
        <v>14817.49</v>
      </c>
      <c r="AT148" s="1">
        <v>0</v>
      </c>
      <c r="AU148" s="1">
        <v>12512.82</v>
      </c>
      <c r="AV148" s="24">
        <v>0</v>
      </c>
      <c r="AW148" s="24">
        <v>14892.82</v>
      </c>
      <c r="AX148" s="45">
        <v>0</v>
      </c>
      <c r="AY148" s="45">
        <v>16285.82</v>
      </c>
      <c r="AZ148" s="24">
        <v>0</v>
      </c>
      <c r="BA148" s="24">
        <v>21720.43</v>
      </c>
      <c r="BB148" s="24">
        <v>0</v>
      </c>
      <c r="BC148" s="24">
        <v>18583.83</v>
      </c>
      <c r="BD148" s="24">
        <v>0</v>
      </c>
      <c r="BE148" s="24">
        <v>21260.55</v>
      </c>
      <c r="BF148" s="24">
        <v>0</v>
      </c>
      <c r="BG148" s="24">
        <v>16132.72</v>
      </c>
      <c r="BH148" s="24">
        <v>0</v>
      </c>
      <c r="BI148" s="24">
        <v>11330.07</v>
      </c>
      <c r="BJ148" s="9">
        <f t="shared" si="52"/>
        <v>0</v>
      </c>
      <c r="BK148" s="9">
        <f t="shared" si="53"/>
        <v>229260.19000000003</v>
      </c>
      <c r="BL148" s="153">
        <f t="shared" si="54"/>
        <v>229260.19000000003</v>
      </c>
      <c r="BM148" s="154"/>
      <c r="BN148" s="154"/>
      <c r="BO148" s="154"/>
      <c r="BP148" s="154"/>
      <c r="BQ148" s="154"/>
      <c r="BR148" s="155">
        <f t="shared" si="67"/>
        <v>229260.19000000003</v>
      </c>
      <c r="BS148" s="198">
        <v>1474.75</v>
      </c>
      <c r="BT148" s="199"/>
      <c r="BU148" s="20">
        <f t="shared" si="68"/>
        <v>121547.54400000002</v>
      </c>
      <c r="BV148" s="231">
        <v>523451.32</v>
      </c>
      <c r="BW148" s="229"/>
      <c r="BX148" s="230"/>
    </row>
    <row r="149" spans="1:76" ht="15.75" customHeight="1">
      <c r="A149" s="1">
        <v>142</v>
      </c>
      <c r="B149" s="1" t="s">
        <v>133</v>
      </c>
      <c r="C149" s="1">
        <v>2009.3</v>
      </c>
      <c r="D149" s="1">
        <v>0</v>
      </c>
      <c r="E149" s="1">
        <f t="shared" si="55"/>
        <v>2009.3</v>
      </c>
      <c r="F149" s="2">
        <v>14.7</v>
      </c>
      <c r="G149" s="2">
        <f t="shared" si="47"/>
        <v>29536.71</v>
      </c>
      <c r="H149" s="2">
        <f t="shared" si="48"/>
        <v>177220.26</v>
      </c>
      <c r="I149" s="2">
        <f t="shared" si="56"/>
        <v>14.7</v>
      </c>
      <c r="J149" s="2">
        <f t="shared" si="57"/>
        <v>29536.71</v>
      </c>
      <c r="K149" s="2">
        <f t="shared" si="49"/>
        <v>177220.26</v>
      </c>
      <c r="L149" s="97">
        <f t="shared" si="50"/>
        <v>354440.52</v>
      </c>
      <c r="M149" s="109">
        <v>3.92</v>
      </c>
      <c r="N149" s="89">
        <f t="shared" si="58"/>
        <v>94517.47200000001</v>
      </c>
      <c r="O149" s="64">
        <v>1.46</v>
      </c>
      <c r="P149" s="90">
        <f t="shared" si="59"/>
        <v>35202.936</v>
      </c>
      <c r="Q149" s="64"/>
      <c r="R149" s="90">
        <f t="shared" si="60"/>
        <v>0</v>
      </c>
      <c r="S149" s="64"/>
      <c r="T149" s="91">
        <f t="shared" si="61"/>
        <v>0</v>
      </c>
      <c r="U149" s="64">
        <v>0.74</v>
      </c>
      <c r="V149" s="90">
        <f t="shared" si="62"/>
        <v>17842.584000000003</v>
      </c>
      <c r="W149" s="96"/>
      <c r="X149" s="91">
        <f t="shared" si="63"/>
        <v>0</v>
      </c>
      <c r="Y149" s="110">
        <f t="shared" si="64"/>
        <v>147562.99200000003</v>
      </c>
      <c r="Z149" s="32"/>
      <c r="AA149" s="12">
        <f t="shared" si="65"/>
        <v>0</v>
      </c>
      <c r="AB149" s="25">
        <f t="shared" si="66"/>
        <v>354440.52</v>
      </c>
      <c r="AC149" s="44"/>
      <c r="AD149" s="8">
        <f t="shared" si="51"/>
        <v>354440.52</v>
      </c>
      <c r="AE149" s="167">
        <v>132480.408</v>
      </c>
      <c r="AF149" s="168">
        <v>0</v>
      </c>
      <c r="AG149" s="168">
        <v>29536.710000000003</v>
      </c>
      <c r="AH149" s="168">
        <v>0</v>
      </c>
      <c r="AI149" s="168">
        <v>354440.52</v>
      </c>
      <c r="AJ149" s="59"/>
      <c r="AK149" s="59"/>
      <c r="AL149" s="45">
        <v>0</v>
      </c>
      <c r="AM149" s="45">
        <v>11408.49</v>
      </c>
      <c r="AN149" s="2">
        <v>0</v>
      </c>
      <c r="AO149" s="2">
        <v>43393.44</v>
      </c>
      <c r="AP149" s="1">
        <v>0</v>
      </c>
      <c r="AQ149" s="1">
        <v>9329.86</v>
      </c>
      <c r="AR149" s="24">
        <v>0</v>
      </c>
      <c r="AS149" s="24">
        <v>12765.86</v>
      </c>
      <c r="AT149" s="1">
        <v>0</v>
      </c>
      <c r="AU149" s="1">
        <v>95454.93</v>
      </c>
      <c r="AV149" s="24">
        <v>0</v>
      </c>
      <c r="AW149" s="24">
        <v>14200.5</v>
      </c>
      <c r="AX149" s="45">
        <v>0</v>
      </c>
      <c r="AY149" s="45">
        <v>31527.99</v>
      </c>
      <c r="AZ149" s="24">
        <v>0</v>
      </c>
      <c r="BA149" s="24">
        <v>12443.5</v>
      </c>
      <c r="BB149" s="24">
        <v>0</v>
      </c>
      <c r="BC149" s="24">
        <v>28705.9</v>
      </c>
      <c r="BD149" s="24">
        <v>0</v>
      </c>
      <c r="BE149" s="24">
        <v>17590.76</v>
      </c>
      <c r="BF149" s="24">
        <v>0</v>
      </c>
      <c r="BG149" s="24">
        <v>16081.07</v>
      </c>
      <c r="BH149" s="24">
        <v>0</v>
      </c>
      <c r="BI149" s="24">
        <v>10349.86</v>
      </c>
      <c r="BJ149" s="9">
        <f t="shared" si="52"/>
        <v>0</v>
      </c>
      <c r="BK149" s="9">
        <f t="shared" si="53"/>
        <v>303252.16</v>
      </c>
      <c r="BL149" s="153">
        <f t="shared" si="54"/>
        <v>303252.16</v>
      </c>
      <c r="BM149" s="154"/>
      <c r="BN149" s="154"/>
      <c r="BO149" s="154"/>
      <c r="BP149" s="154"/>
      <c r="BQ149" s="154"/>
      <c r="BR149" s="155">
        <f t="shared" si="67"/>
        <v>303252.16</v>
      </c>
      <c r="BS149" s="198">
        <v>1465.33</v>
      </c>
      <c r="BT149" s="199">
        <v>4128</v>
      </c>
      <c r="BU149" s="20">
        <f t="shared" si="68"/>
        <v>52653.690000000046</v>
      </c>
      <c r="BV149" s="231">
        <v>497687.74</v>
      </c>
      <c r="BW149" s="229"/>
      <c r="BX149" s="230"/>
    </row>
    <row r="150" spans="1:111" s="17" customFormat="1" ht="15.75">
      <c r="A150" s="1">
        <v>143</v>
      </c>
      <c r="B150" s="18" t="s">
        <v>335</v>
      </c>
      <c r="C150" s="1">
        <v>629.1</v>
      </c>
      <c r="D150" s="1">
        <v>0</v>
      </c>
      <c r="E150" s="1">
        <f t="shared" si="55"/>
        <v>629.1</v>
      </c>
      <c r="F150" s="2">
        <v>13.78</v>
      </c>
      <c r="G150" s="2">
        <f t="shared" si="47"/>
        <v>8668.998</v>
      </c>
      <c r="H150" s="66">
        <f t="shared" si="48"/>
        <v>52013.988</v>
      </c>
      <c r="I150" s="2">
        <f>F150*1</f>
        <v>13.78</v>
      </c>
      <c r="J150" s="2">
        <f t="shared" si="57"/>
        <v>8668.998</v>
      </c>
      <c r="K150" s="2">
        <f t="shared" si="49"/>
        <v>52013.988</v>
      </c>
      <c r="L150" s="97">
        <f t="shared" si="50"/>
        <v>104027.976</v>
      </c>
      <c r="M150" s="109">
        <v>3.92</v>
      </c>
      <c r="N150" s="89">
        <f t="shared" si="58"/>
        <v>29592.864</v>
      </c>
      <c r="O150" s="64">
        <v>1.46</v>
      </c>
      <c r="P150" s="90">
        <f t="shared" si="59"/>
        <v>11021.832</v>
      </c>
      <c r="Q150" s="64"/>
      <c r="R150" s="90">
        <f t="shared" si="60"/>
        <v>0</v>
      </c>
      <c r="S150" s="64"/>
      <c r="T150" s="91">
        <f t="shared" si="61"/>
        <v>0</v>
      </c>
      <c r="U150" s="64">
        <v>0</v>
      </c>
      <c r="V150" s="90">
        <f t="shared" si="62"/>
        <v>0</v>
      </c>
      <c r="W150" s="96"/>
      <c r="X150" s="91">
        <f t="shared" si="63"/>
        <v>0</v>
      </c>
      <c r="Y150" s="110">
        <f t="shared" si="64"/>
        <v>40614.696</v>
      </c>
      <c r="Z150" s="32">
        <v>-140335.33</v>
      </c>
      <c r="AA150" s="12">
        <f t="shared" si="65"/>
        <v>-1.3490152879644606</v>
      </c>
      <c r="AB150" s="25">
        <f t="shared" si="66"/>
        <v>-36307.35399999999</v>
      </c>
      <c r="AC150" s="44"/>
      <c r="AD150" s="8">
        <f t="shared" si="51"/>
        <v>-36307.35399999999</v>
      </c>
      <c r="AE150" s="167">
        <v>23293.824000000004</v>
      </c>
      <c r="AF150" s="168">
        <v>1022.1108857157978</v>
      </c>
      <c r="AG150" s="168">
        <v>919.0411142842025</v>
      </c>
      <c r="AH150" s="168">
        <v>12265.330628589574</v>
      </c>
      <c r="AI150" s="168">
        <v>11028.49337141043</v>
      </c>
      <c r="AJ150" s="59" t="s">
        <v>299</v>
      </c>
      <c r="AK150" s="26" t="s">
        <v>352</v>
      </c>
      <c r="AL150" s="45">
        <v>150483.54</v>
      </c>
      <c r="AM150" s="45">
        <v>23323.1</v>
      </c>
      <c r="AN150" s="2">
        <v>24242.52</v>
      </c>
      <c r="AO150" s="2">
        <v>8321.41</v>
      </c>
      <c r="AP150" s="1">
        <v>0</v>
      </c>
      <c r="AQ150" s="1">
        <v>3280.63</v>
      </c>
      <c r="AR150" s="24">
        <v>4036.35</v>
      </c>
      <c r="AS150" s="24">
        <v>2645.94</v>
      </c>
      <c r="AT150" s="1">
        <v>0</v>
      </c>
      <c r="AU150" s="1">
        <v>1947.44</v>
      </c>
      <c r="AV150" s="24">
        <v>574</v>
      </c>
      <c r="AW150" s="24">
        <v>1947.44</v>
      </c>
      <c r="AX150" s="45">
        <v>1855.24</v>
      </c>
      <c r="AY150" s="45">
        <v>4433.26</v>
      </c>
      <c r="AZ150" s="24">
        <v>6693.72</v>
      </c>
      <c r="BA150" s="24">
        <v>3447.44</v>
      </c>
      <c r="BB150" s="24">
        <v>10122.86</v>
      </c>
      <c r="BC150" s="24">
        <v>4966.84</v>
      </c>
      <c r="BD150" s="24">
        <v>0</v>
      </c>
      <c r="BE150" s="24">
        <v>4966.84</v>
      </c>
      <c r="BF150" s="24">
        <v>0</v>
      </c>
      <c r="BG150" s="24">
        <v>6474.84</v>
      </c>
      <c r="BH150" s="24">
        <v>4305.73</v>
      </c>
      <c r="BI150" s="24">
        <v>1947.44</v>
      </c>
      <c r="BJ150" s="9">
        <f t="shared" si="52"/>
        <v>202313.96</v>
      </c>
      <c r="BK150" s="9">
        <f t="shared" si="53"/>
        <v>67702.62000000001</v>
      </c>
      <c r="BL150" s="153">
        <f t="shared" si="54"/>
        <v>270016.58</v>
      </c>
      <c r="BM150" s="154"/>
      <c r="BN150" s="154">
        <v>120021.08</v>
      </c>
      <c r="BO150" s="154"/>
      <c r="BP150" s="154"/>
      <c r="BQ150" s="154"/>
      <c r="BR150" s="155">
        <f t="shared" si="67"/>
        <v>390037.66000000003</v>
      </c>
      <c r="BS150" s="198">
        <v>459.24</v>
      </c>
      <c r="BT150" s="199"/>
      <c r="BU150" s="20">
        <f t="shared" si="68"/>
        <v>-425885.77400000003</v>
      </c>
      <c r="BV150" s="231">
        <v>24662.26</v>
      </c>
      <c r="BW150" s="229"/>
      <c r="BX150" s="230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</row>
    <row r="151" spans="1:111" s="17" customFormat="1" ht="15.75">
      <c r="A151" s="1">
        <v>144</v>
      </c>
      <c r="B151" s="1" t="s">
        <v>134</v>
      </c>
      <c r="C151" s="1">
        <v>405.1</v>
      </c>
      <c r="D151" s="1">
        <v>0</v>
      </c>
      <c r="E151" s="1">
        <f t="shared" si="55"/>
        <v>405.1</v>
      </c>
      <c r="F151" s="2">
        <v>9.16</v>
      </c>
      <c r="G151" s="2">
        <f t="shared" si="47"/>
        <v>3710.7160000000003</v>
      </c>
      <c r="H151" s="2">
        <f t="shared" si="48"/>
        <v>22264.296000000002</v>
      </c>
      <c r="I151" s="2">
        <f t="shared" si="56"/>
        <v>9.16</v>
      </c>
      <c r="J151" s="2">
        <f t="shared" si="57"/>
        <v>3710.7160000000003</v>
      </c>
      <c r="K151" s="2">
        <f t="shared" si="49"/>
        <v>22264.296000000002</v>
      </c>
      <c r="L151" s="97">
        <f t="shared" si="50"/>
        <v>44528.592000000004</v>
      </c>
      <c r="M151" s="109">
        <v>3.92</v>
      </c>
      <c r="N151" s="89">
        <f t="shared" si="58"/>
        <v>19055.904</v>
      </c>
      <c r="O151" s="64">
        <v>1.46</v>
      </c>
      <c r="P151" s="90">
        <f t="shared" si="59"/>
        <v>7097.352000000001</v>
      </c>
      <c r="Q151" s="64">
        <v>0.52</v>
      </c>
      <c r="R151" s="90">
        <f t="shared" si="60"/>
        <v>2527.824</v>
      </c>
      <c r="S151" s="64">
        <v>0.89</v>
      </c>
      <c r="T151" s="91">
        <f t="shared" si="61"/>
        <v>4326.468000000001</v>
      </c>
      <c r="U151" s="64">
        <v>0</v>
      </c>
      <c r="V151" s="90">
        <f t="shared" si="62"/>
        <v>0</v>
      </c>
      <c r="W151" s="96"/>
      <c r="X151" s="91">
        <f t="shared" si="63"/>
        <v>0</v>
      </c>
      <c r="Y151" s="110">
        <f t="shared" si="64"/>
        <v>33007.548</v>
      </c>
      <c r="Z151" s="32"/>
      <c r="AA151" s="12">
        <f t="shared" si="65"/>
        <v>0</v>
      </c>
      <c r="AB151" s="25">
        <f t="shared" si="66"/>
        <v>44528.592000000004</v>
      </c>
      <c r="AC151" s="44"/>
      <c r="AD151" s="8">
        <f t="shared" si="51"/>
        <v>44528.592000000004</v>
      </c>
      <c r="AE151" s="167">
        <v>13222.464</v>
      </c>
      <c r="AF151" s="168">
        <v>0</v>
      </c>
      <c r="AG151" s="168">
        <v>3710.7160000000003</v>
      </c>
      <c r="AH151" s="168">
        <v>0</v>
      </c>
      <c r="AI151" s="168">
        <v>44528.592000000004</v>
      </c>
      <c r="AJ151" s="59" t="s">
        <v>296</v>
      </c>
      <c r="AK151" s="59"/>
      <c r="AL151" s="45">
        <v>0</v>
      </c>
      <c r="AM151" s="45">
        <v>1105.92</v>
      </c>
      <c r="AN151" s="2">
        <v>0</v>
      </c>
      <c r="AO151" s="2">
        <v>1105.92</v>
      </c>
      <c r="AP151" s="1">
        <v>0</v>
      </c>
      <c r="AQ151" s="1">
        <v>7680.43</v>
      </c>
      <c r="AR151" s="24">
        <v>0</v>
      </c>
      <c r="AS151" s="24">
        <v>1804.42</v>
      </c>
      <c r="AT151" s="1">
        <v>0</v>
      </c>
      <c r="AU151" s="1">
        <v>1105.92</v>
      </c>
      <c r="AV151" s="24">
        <v>0</v>
      </c>
      <c r="AW151" s="24">
        <v>1105.92</v>
      </c>
      <c r="AX151" s="45">
        <v>0</v>
      </c>
      <c r="AY151" s="45">
        <v>1105.92</v>
      </c>
      <c r="AZ151" s="24">
        <v>0</v>
      </c>
      <c r="BA151" s="24">
        <v>1105.92</v>
      </c>
      <c r="BB151" s="24">
        <v>0</v>
      </c>
      <c r="BC151" s="24">
        <v>1105.92</v>
      </c>
      <c r="BD151" s="24">
        <v>0</v>
      </c>
      <c r="BE151" s="24">
        <v>1105.92</v>
      </c>
      <c r="BF151" s="24">
        <v>0</v>
      </c>
      <c r="BG151" s="24">
        <v>3323.08</v>
      </c>
      <c r="BH151" s="24">
        <v>0</v>
      </c>
      <c r="BI151" s="24">
        <v>2983.6</v>
      </c>
      <c r="BJ151" s="9">
        <f t="shared" si="52"/>
        <v>0</v>
      </c>
      <c r="BK151" s="9">
        <f t="shared" si="53"/>
        <v>24638.89</v>
      </c>
      <c r="BL151" s="153">
        <f t="shared" si="54"/>
        <v>24638.89</v>
      </c>
      <c r="BM151" s="154"/>
      <c r="BN151" s="154">
        <v>2503.4</v>
      </c>
      <c r="BO151" s="154">
        <v>315.16</v>
      </c>
      <c r="BP151" s="154"/>
      <c r="BQ151" s="154"/>
      <c r="BR151" s="155">
        <f t="shared" si="67"/>
        <v>27457.45</v>
      </c>
      <c r="BS151" s="154">
        <f>1166.69+1182.89</f>
        <v>2349.58</v>
      </c>
      <c r="BT151" s="199"/>
      <c r="BU151" s="20">
        <f t="shared" si="68"/>
        <v>19420.722</v>
      </c>
      <c r="BV151" s="231">
        <v>88439.78</v>
      </c>
      <c r="BW151" s="229"/>
      <c r="BX151" s="230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</row>
    <row r="152" spans="1:76" ht="15.75">
      <c r="A152" s="1">
        <v>145</v>
      </c>
      <c r="B152" s="1" t="s">
        <v>135</v>
      </c>
      <c r="C152" s="1">
        <v>1286.3</v>
      </c>
      <c r="D152" s="1">
        <v>0</v>
      </c>
      <c r="E152" s="1">
        <f t="shared" si="55"/>
        <v>1286.3</v>
      </c>
      <c r="F152" s="2">
        <v>14.66</v>
      </c>
      <c r="G152" s="2">
        <f t="shared" si="47"/>
        <v>18857.158</v>
      </c>
      <c r="H152" s="2">
        <f t="shared" si="48"/>
        <v>113142.948</v>
      </c>
      <c r="I152" s="2">
        <f t="shared" si="56"/>
        <v>14.66</v>
      </c>
      <c r="J152" s="2">
        <f t="shared" si="57"/>
        <v>18857.158</v>
      </c>
      <c r="K152" s="2">
        <f t="shared" si="49"/>
        <v>113142.948</v>
      </c>
      <c r="L152" s="97">
        <f t="shared" si="50"/>
        <v>226285.896</v>
      </c>
      <c r="M152" s="109">
        <v>3.92</v>
      </c>
      <c r="N152" s="89">
        <f t="shared" si="58"/>
        <v>60507.551999999996</v>
      </c>
      <c r="O152" s="64">
        <v>1.46</v>
      </c>
      <c r="P152" s="90">
        <f t="shared" si="59"/>
        <v>22535.976</v>
      </c>
      <c r="Q152" s="64"/>
      <c r="R152" s="90">
        <f t="shared" si="60"/>
        <v>0</v>
      </c>
      <c r="S152" s="64"/>
      <c r="T152" s="91">
        <f t="shared" si="61"/>
        <v>0</v>
      </c>
      <c r="U152" s="64">
        <v>0.27</v>
      </c>
      <c r="V152" s="90">
        <f t="shared" si="62"/>
        <v>4167.612</v>
      </c>
      <c r="W152" s="96"/>
      <c r="X152" s="91">
        <f t="shared" si="63"/>
        <v>0</v>
      </c>
      <c r="Y152" s="110">
        <f t="shared" si="64"/>
        <v>87211.13999999998</v>
      </c>
      <c r="Z152" s="32">
        <v>-349238.43</v>
      </c>
      <c r="AA152" s="12">
        <f t="shared" si="65"/>
        <v>-1.5433504083701266</v>
      </c>
      <c r="AB152" s="25">
        <f t="shared" si="66"/>
        <v>-122952.53399999999</v>
      </c>
      <c r="AC152" s="44"/>
      <c r="AD152" s="8">
        <f t="shared" si="51"/>
        <v>-122952.53399999999</v>
      </c>
      <c r="AE152" s="167">
        <v>44744.832</v>
      </c>
      <c r="AF152" s="168">
        <v>0</v>
      </c>
      <c r="AG152" s="168">
        <v>3728.7360000000003</v>
      </c>
      <c r="AH152" s="168">
        <v>0</v>
      </c>
      <c r="AI152" s="168">
        <v>44744.832</v>
      </c>
      <c r="AJ152" s="58" t="s">
        <v>296</v>
      </c>
      <c r="AK152" s="26" t="s">
        <v>352</v>
      </c>
      <c r="AL152" s="45">
        <v>0</v>
      </c>
      <c r="AM152" s="45">
        <v>7960.13</v>
      </c>
      <c r="AN152" s="2">
        <v>0</v>
      </c>
      <c r="AO152" s="2">
        <v>39919.93</v>
      </c>
      <c r="AP152" s="1">
        <v>0</v>
      </c>
      <c r="AQ152" s="1">
        <v>3741.6</v>
      </c>
      <c r="AR152" s="24">
        <v>0</v>
      </c>
      <c r="AS152" s="24">
        <v>16908.06</v>
      </c>
      <c r="AT152" s="1">
        <v>0</v>
      </c>
      <c r="AU152" s="1">
        <v>10313.03</v>
      </c>
      <c r="AV152" s="24">
        <v>0</v>
      </c>
      <c r="AW152" s="24">
        <v>3951.6</v>
      </c>
      <c r="AX152" s="45">
        <v>0</v>
      </c>
      <c r="AY152" s="45">
        <v>5084.85</v>
      </c>
      <c r="AZ152" s="24">
        <v>0</v>
      </c>
      <c r="BA152" s="24">
        <v>5241.6</v>
      </c>
      <c r="BB152" s="24">
        <v>0</v>
      </c>
      <c r="BC152" s="24">
        <v>8016</v>
      </c>
      <c r="BD152" s="24">
        <v>0</v>
      </c>
      <c r="BE152" s="24">
        <v>8081.43</v>
      </c>
      <c r="BF152" s="24">
        <v>0</v>
      </c>
      <c r="BG152" s="24">
        <v>16510.43</v>
      </c>
      <c r="BH152" s="24">
        <v>0</v>
      </c>
      <c r="BI152" s="24">
        <v>4341.6</v>
      </c>
      <c r="BJ152" s="9">
        <f t="shared" si="52"/>
        <v>0</v>
      </c>
      <c r="BK152" s="9">
        <f t="shared" si="53"/>
        <v>130070.26000000001</v>
      </c>
      <c r="BL152" s="153">
        <f t="shared" si="54"/>
        <v>130070.26000000001</v>
      </c>
      <c r="BM152" s="154"/>
      <c r="BN152" s="154"/>
      <c r="BO152" s="154"/>
      <c r="BP152" s="154"/>
      <c r="BQ152" s="154"/>
      <c r="BR152" s="155">
        <f t="shared" si="67"/>
        <v>130070.26000000001</v>
      </c>
      <c r="BS152" s="198">
        <v>939</v>
      </c>
      <c r="BT152" s="199">
        <v>4128</v>
      </c>
      <c r="BU152" s="20">
        <f t="shared" si="68"/>
        <v>-252083.794</v>
      </c>
      <c r="BV152" s="231">
        <v>449038.13</v>
      </c>
      <c r="BW152" s="229"/>
      <c r="BX152" s="230"/>
    </row>
    <row r="153" spans="1:76" ht="15.75">
      <c r="A153" s="1">
        <v>146</v>
      </c>
      <c r="B153" s="1" t="s">
        <v>136</v>
      </c>
      <c r="C153" s="1">
        <v>946.3</v>
      </c>
      <c r="D153" s="1">
        <v>0</v>
      </c>
      <c r="E153" s="1">
        <f t="shared" si="55"/>
        <v>946.3</v>
      </c>
      <c r="F153" s="2">
        <v>14.09</v>
      </c>
      <c r="G153" s="2">
        <f t="shared" si="47"/>
        <v>13333.366999999998</v>
      </c>
      <c r="H153" s="2">
        <f t="shared" si="48"/>
        <v>80000.20199999999</v>
      </c>
      <c r="I153" s="2">
        <f t="shared" si="56"/>
        <v>14.09</v>
      </c>
      <c r="J153" s="2">
        <f t="shared" si="57"/>
        <v>13333.366999999998</v>
      </c>
      <c r="K153" s="2">
        <f t="shared" si="49"/>
        <v>80000.20199999999</v>
      </c>
      <c r="L153" s="97">
        <f t="shared" si="50"/>
        <v>160000.40399999998</v>
      </c>
      <c r="M153" s="109">
        <v>3.92</v>
      </c>
      <c r="N153" s="89">
        <f t="shared" si="58"/>
        <v>44513.952</v>
      </c>
      <c r="O153" s="64">
        <v>1.46</v>
      </c>
      <c r="P153" s="90">
        <f t="shared" si="59"/>
        <v>16579.176</v>
      </c>
      <c r="Q153" s="64"/>
      <c r="R153" s="90">
        <f t="shared" si="60"/>
        <v>0</v>
      </c>
      <c r="S153" s="64"/>
      <c r="T153" s="91">
        <f t="shared" si="61"/>
        <v>0</v>
      </c>
      <c r="U153" s="64">
        <v>1.23</v>
      </c>
      <c r="V153" s="90">
        <f t="shared" si="62"/>
        <v>13967.387999999999</v>
      </c>
      <c r="W153" s="96"/>
      <c r="X153" s="91">
        <f t="shared" si="63"/>
        <v>0</v>
      </c>
      <c r="Y153" s="110">
        <f t="shared" si="64"/>
        <v>75060.516</v>
      </c>
      <c r="Z153" s="32"/>
      <c r="AA153" s="12">
        <f t="shared" si="65"/>
        <v>0</v>
      </c>
      <c r="AB153" s="25">
        <f t="shared" si="66"/>
        <v>160000.40399999998</v>
      </c>
      <c r="AC153" s="44"/>
      <c r="AD153" s="8">
        <f t="shared" si="51"/>
        <v>160000.40399999998</v>
      </c>
      <c r="AE153" s="167">
        <v>33647.232</v>
      </c>
      <c r="AF153" s="168">
        <v>0</v>
      </c>
      <c r="AG153" s="168">
        <v>13333.366999999998</v>
      </c>
      <c r="AH153" s="168">
        <v>0</v>
      </c>
      <c r="AI153" s="168">
        <v>160000.40399999998</v>
      </c>
      <c r="AJ153" s="58" t="s">
        <v>296</v>
      </c>
      <c r="AK153" s="59"/>
      <c r="AL153" s="45">
        <v>0</v>
      </c>
      <c r="AM153" s="45">
        <v>4412.71</v>
      </c>
      <c r="AN153" s="2">
        <v>0</v>
      </c>
      <c r="AO153" s="2">
        <v>34798.16</v>
      </c>
      <c r="AP153" s="1">
        <v>0</v>
      </c>
      <c r="AQ153" s="1">
        <v>2813.4</v>
      </c>
      <c r="AR153" s="24">
        <v>0</v>
      </c>
      <c r="AS153" s="24">
        <v>6249.4</v>
      </c>
      <c r="AT153" s="1">
        <v>0</v>
      </c>
      <c r="AU153" s="1">
        <v>7456.86</v>
      </c>
      <c r="AV153" s="24">
        <v>0</v>
      </c>
      <c r="AW153" s="24">
        <v>3408.4</v>
      </c>
      <c r="AX153" s="45">
        <v>0</v>
      </c>
      <c r="AY153" s="45">
        <v>3893.4</v>
      </c>
      <c r="AZ153" s="24">
        <v>0</v>
      </c>
      <c r="BA153" s="24">
        <v>4313.4</v>
      </c>
      <c r="BB153" s="24">
        <v>0</v>
      </c>
      <c r="BC153" s="24">
        <v>52102.93</v>
      </c>
      <c r="BD153" s="24">
        <v>0</v>
      </c>
      <c r="BE153" s="24">
        <v>5832.8</v>
      </c>
      <c r="BF153" s="24">
        <v>0</v>
      </c>
      <c r="BG153" s="24">
        <v>7408.61</v>
      </c>
      <c r="BH153" s="24">
        <v>0</v>
      </c>
      <c r="BI153" s="24">
        <v>127890.02</v>
      </c>
      <c r="BJ153" s="9">
        <f t="shared" si="52"/>
        <v>0</v>
      </c>
      <c r="BK153" s="9">
        <f t="shared" si="53"/>
        <v>260580.09000000003</v>
      </c>
      <c r="BL153" s="153">
        <f t="shared" si="54"/>
        <v>260580.09000000003</v>
      </c>
      <c r="BM153" s="154"/>
      <c r="BN153" s="154"/>
      <c r="BO153" s="154"/>
      <c r="BP153" s="154"/>
      <c r="BQ153" s="154"/>
      <c r="BR153" s="155">
        <f t="shared" si="67"/>
        <v>260580.09000000003</v>
      </c>
      <c r="BS153" s="198">
        <v>690.22</v>
      </c>
      <c r="BT153" s="199"/>
      <c r="BU153" s="20">
        <f t="shared" si="68"/>
        <v>-99889.46600000004</v>
      </c>
      <c r="BV153" s="231">
        <v>229203.93</v>
      </c>
      <c r="BW153" s="229"/>
      <c r="BX153" s="230"/>
    </row>
    <row r="154" spans="1:111" s="17" customFormat="1" ht="15.75">
      <c r="A154" s="1">
        <v>147</v>
      </c>
      <c r="B154" s="1" t="s">
        <v>137</v>
      </c>
      <c r="C154" s="1">
        <v>397.3</v>
      </c>
      <c r="D154" s="1">
        <v>0</v>
      </c>
      <c r="E154" s="1">
        <f t="shared" si="55"/>
        <v>397.3</v>
      </c>
      <c r="F154" s="2">
        <v>13.23</v>
      </c>
      <c r="G154" s="2">
        <f t="shared" si="47"/>
        <v>5256.279</v>
      </c>
      <c r="H154" s="2">
        <f t="shared" si="48"/>
        <v>31537.674000000003</v>
      </c>
      <c r="I154" s="2">
        <f t="shared" si="56"/>
        <v>13.23</v>
      </c>
      <c r="J154" s="2">
        <f t="shared" si="57"/>
        <v>5256.279</v>
      </c>
      <c r="K154" s="2">
        <f t="shared" si="49"/>
        <v>31537.674000000003</v>
      </c>
      <c r="L154" s="97">
        <f t="shared" si="50"/>
        <v>63075.348000000005</v>
      </c>
      <c r="M154" s="109">
        <v>3.92</v>
      </c>
      <c r="N154" s="89">
        <f t="shared" si="58"/>
        <v>18688.992</v>
      </c>
      <c r="O154" s="64">
        <v>1.46</v>
      </c>
      <c r="P154" s="90">
        <f t="shared" si="59"/>
        <v>6960.696</v>
      </c>
      <c r="Q154" s="64">
        <v>0.52</v>
      </c>
      <c r="R154" s="90">
        <f t="shared" si="60"/>
        <v>2479.152</v>
      </c>
      <c r="S154" s="64">
        <v>0.89</v>
      </c>
      <c r="T154" s="91">
        <f t="shared" si="61"/>
        <v>4243.164000000001</v>
      </c>
      <c r="U154" s="64">
        <v>0</v>
      </c>
      <c r="V154" s="90">
        <f t="shared" si="62"/>
        <v>0</v>
      </c>
      <c r="W154" s="96"/>
      <c r="X154" s="91">
        <f t="shared" si="63"/>
        <v>0</v>
      </c>
      <c r="Y154" s="110">
        <f t="shared" si="64"/>
        <v>32372.003999999997</v>
      </c>
      <c r="Z154" s="32">
        <v>-19344.76</v>
      </c>
      <c r="AA154" s="12">
        <f t="shared" si="65"/>
        <v>-0.3066928778577646</v>
      </c>
      <c r="AB154" s="25">
        <f t="shared" si="66"/>
        <v>43730.588</v>
      </c>
      <c r="AC154" s="44"/>
      <c r="AD154" s="8">
        <f t="shared" si="51"/>
        <v>43730.588</v>
      </c>
      <c r="AE154" s="167">
        <v>15727.872000000003</v>
      </c>
      <c r="AF154" s="168">
        <v>0</v>
      </c>
      <c r="AG154" s="168">
        <v>3644.215666666667</v>
      </c>
      <c r="AH154" s="168">
        <v>0</v>
      </c>
      <c r="AI154" s="168">
        <v>43730.588</v>
      </c>
      <c r="AJ154" s="59" t="s">
        <v>296</v>
      </c>
      <c r="AK154" s="58"/>
      <c r="AL154" s="45">
        <v>0</v>
      </c>
      <c r="AM154" s="45">
        <v>1314.63</v>
      </c>
      <c r="AN154" s="2">
        <v>0</v>
      </c>
      <c r="AO154" s="2">
        <v>1314.63</v>
      </c>
      <c r="AP154" s="1">
        <v>0</v>
      </c>
      <c r="AQ154" s="1">
        <v>2350.43</v>
      </c>
      <c r="AR154" s="24">
        <v>0</v>
      </c>
      <c r="AS154" s="24">
        <v>2013.13</v>
      </c>
      <c r="AT154" s="1">
        <v>0</v>
      </c>
      <c r="AU154" s="1">
        <v>1314.63</v>
      </c>
      <c r="AV154" s="24">
        <v>0</v>
      </c>
      <c r="AW154" s="24">
        <v>1314.63</v>
      </c>
      <c r="AX154" s="45">
        <v>0</v>
      </c>
      <c r="AY154" s="45">
        <v>2394.63</v>
      </c>
      <c r="AZ154" s="24">
        <v>0</v>
      </c>
      <c r="BA154" s="24">
        <v>1314.63</v>
      </c>
      <c r="BB154" s="24">
        <v>0</v>
      </c>
      <c r="BC154" s="24">
        <v>3899.79</v>
      </c>
      <c r="BD154" s="24">
        <v>0</v>
      </c>
      <c r="BE154" s="24">
        <v>1314.63</v>
      </c>
      <c r="BF154" s="24">
        <v>0</v>
      </c>
      <c r="BG154" s="24">
        <v>3531.79</v>
      </c>
      <c r="BH154" s="24">
        <v>0</v>
      </c>
      <c r="BI154" s="24">
        <v>3730.15</v>
      </c>
      <c r="BJ154" s="9">
        <f t="shared" si="52"/>
        <v>0</v>
      </c>
      <c r="BK154" s="9">
        <f t="shared" si="53"/>
        <v>25807.700000000008</v>
      </c>
      <c r="BL154" s="153">
        <f t="shared" si="54"/>
        <v>25807.700000000008</v>
      </c>
      <c r="BM154" s="154"/>
      <c r="BN154" s="154"/>
      <c r="BO154" s="154">
        <v>309.1</v>
      </c>
      <c r="BP154" s="154"/>
      <c r="BQ154" s="154"/>
      <c r="BR154" s="155">
        <f t="shared" si="67"/>
        <v>26116.800000000007</v>
      </c>
      <c r="BS154" s="154">
        <f>1144.22+1160.12</f>
        <v>2304.34</v>
      </c>
      <c r="BT154" s="199"/>
      <c r="BU154" s="20">
        <f t="shared" si="68"/>
        <v>19918.127999999997</v>
      </c>
      <c r="BV154" s="231">
        <v>160299.2</v>
      </c>
      <c r="BW154" s="229"/>
      <c r="BX154" s="230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</row>
    <row r="155" spans="1:76" ht="15.75">
      <c r="A155" s="1">
        <v>148</v>
      </c>
      <c r="B155" s="1" t="s">
        <v>138</v>
      </c>
      <c r="C155" s="1">
        <v>594.5</v>
      </c>
      <c r="D155" s="1">
        <v>0</v>
      </c>
      <c r="E155" s="1">
        <f t="shared" si="55"/>
        <v>594.5</v>
      </c>
      <c r="F155" s="2">
        <v>13.01</v>
      </c>
      <c r="G155" s="2">
        <f>E155*F155</f>
        <v>7734.445</v>
      </c>
      <c r="H155" s="2">
        <f t="shared" si="48"/>
        <v>46406.67</v>
      </c>
      <c r="I155" s="2">
        <f t="shared" si="56"/>
        <v>13.01</v>
      </c>
      <c r="J155" s="2">
        <f t="shared" si="57"/>
        <v>7734.445</v>
      </c>
      <c r="K155" s="2">
        <f t="shared" si="49"/>
        <v>46406.67</v>
      </c>
      <c r="L155" s="97">
        <f t="shared" si="50"/>
        <v>92813.34</v>
      </c>
      <c r="M155" s="109">
        <v>3.92</v>
      </c>
      <c r="N155" s="89">
        <f t="shared" si="58"/>
        <v>27965.28</v>
      </c>
      <c r="O155" s="64">
        <v>1.46</v>
      </c>
      <c r="P155" s="90">
        <f t="shared" si="59"/>
        <v>10415.64</v>
      </c>
      <c r="Q155" s="64"/>
      <c r="R155" s="90">
        <f t="shared" si="60"/>
        <v>0</v>
      </c>
      <c r="S155" s="64"/>
      <c r="T155" s="91">
        <f t="shared" si="61"/>
        <v>0</v>
      </c>
      <c r="U155" s="64">
        <v>0</v>
      </c>
      <c r="V155" s="90">
        <f t="shared" si="62"/>
        <v>0</v>
      </c>
      <c r="W155" s="96"/>
      <c r="X155" s="91">
        <f t="shared" si="63"/>
        <v>0</v>
      </c>
      <c r="Y155" s="110">
        <f t="shared" si="64"/>
        <v>38380.92</v>
      </c>
      <c r="Z155" s="32"/>
      <c r="AA155" s="12">
        <f t="shared" si="65"/>
        <v>0</v>
      </c>
      <c r="AB155" s="25">
        <f t="shared" si="66"/>
        <v>92813.34</v>
      </c>
      <c r="AC155" s="44"/>
      <c r="AD155" s="8">
        <f t="shared" si="51"/>
        <v>92813.34</v>
      </c>
      <c r="AE155" s="167">
        <v>24924.48</v>
      </c>
      <c r="AF155" s="168">
        <v>0</v>
      </c>
      <c r="AG155" s="168">
        <v>7734.445</v>
      </c>
      <c r="AH155" s="168">
        <v>0</v>
      </c>
      <c r="AI155" s="168">
        <v>92813.34</v>
      </c>
      <c r="AJ155" s="59" t="s">
        <v>296</v>
      </c>
      <c r="AK155" s="59"/>
      <c r="AL155" s="45">
        <v>0</v>
      </c>
      <c r="AM155" s="45">
        <v>4319.24</v>
      </c>
      <c r="AN155" s="2">
        <v>0</v>
      </c>
      <c r="AO155" s="2">
        <v>4372.32</v>
      </c>
      <c r="AP155" s="1">
        <v>0</v>
      </c>
      <c r="AQ155" s="1">
        <v>31753.55</v>
      </c>
      <c r="AR155" s="24">
        <v>0</v>
      </c>
      <c r="AS155" s="24">
        <v>4941.49</v>
      </c>
      <c r="AT155" s="1">
        <v>0</v>
      </c>
      <c r="AU155" s="1">
        <v>3162.99</v>
      </c>
      <c r="AV155" s="24">
        <v>0</v>
      </c>
      <c r="AW155" s="24">
        <v>2082.99</v>
      </c>
      <c r="AX155" s="45">
        <v>0</v>
      </c>
      <c r="AY155" s="45">
        <v>6410.21</v>
      </c>
      <c r="AZ155" s="24">
        <v>0</v>
      </c>
      <c r="BA155" s="24">
        <v>2082.99</v>
      </c>
      <c r="BB155" s="24">
        <v>0</v>
      </c>
      <c r="BC155" s="24">
        <v>11277.26</v>
      </c>
      <c r="BD155" s="24">
        <v>0</v>
      </c>
      <c r="BE155" s="24">
        <v>3162.99</v>
      </c>
      <c r="BF155" s="24">
        <v>0</v>
      </c>
      <c r="BG155" s="24">
        <v>8134.97</v>
      </c>
      <c r="BH155" s="24">
        <v>0</v>
      </c>
      <c r="BI155" s="24">
        <v>2082.99</v>
      </c>
      <c r="BJ155" s="9">
        <f t="shared" si="52"/>
        <v>0</v>
      </c>
      <c r="BK155" s="9">
        <f t="shared" si="53"/>
        <v>83783.99</v>
      </c>
      <c r="BL155" s="153">
        <f t="shared" si="54"/>
        <v>83783.99</v>
      </c>
      <c r="BM155" s="154"/>
      <c r="BN155" s="154"/>
      <c r="BO155" s="154"/>
      <c r="BP155" s="154"/>
      <c r="BQ155" s="154"/>
      <c r="BR155" s="155">
        <f t="shared" si="67"/>
        <v>83783.99</v>
      </c>
      <c r="BS155" s="154">
        <f>1712.16+1735.94</f>
        <v>3448.1000000000004</v>
      </c>
      <c r="BT155" s="199"/>
      <c r="BU155" s="20">
        <f t="shared" si="68"/>
        <v>12477.449999999992</v>
      </c>
      <c r="BV155" s="231">
        <v>385105.65</v>
      </c>
      <c r="BW155" s="229"/>
      <c r="BX155" s="230"/>
    </row>
    <row r="156" spans="1:76" ht="15.75">
      <c r="A156" s="1">
        <v>149</v>
      </c>
      <c r="B156" s="1" t="s">
        <v>139</v>
      </c>
      <c r="C156" s="1">
        <v>606.2</v>
      </c>
      <c r="D156" s="1">
        <v>1164.5</v>
      </c>
      <c r="E156" s="1">
        <f t="shared" si="55"/>
        <v>1770.7</v>
      </c>
      <c r="F156" s="2">
        <v>14.09</v>
      </c>
      <c r="G156" s="2">
        <f aca="true" t="shared" si="69" ref="G156:G208">E156*F156</f>
        <v>24949.163</v>
      </c>
      <c r="H156" s="2">
        <f t="shared" si="48"/>
        <v>149694.978</v>
      </c>
      <c r="I156" s="2">
        <f t="shared" si="56"/>
        <v>14.09</v>
      </c>
      <c r="J156" s="2">
        <f t="shared" si="57"/>
        <v>24949.163</v>
      </c>
      <c r="K156" s="2">
        <f t="shared" si="49"/>
        <v>149694.978</v>
      </c>
      <c r="L156" s="97">
        <f t="shared" si="50"/>
        <v>299389.956</v>
      </c>
      <c r="M156" s="109">
        <v>3.92</v>
      </c>
      <c r="N156" s="89">
        <f t="shared" si="58"/>
        <v>83293.728</v>
      </c>
      <c r="O156" s="64">
        <v>1.46</v>
      </c>
      <c r="P156" s="90">
        <f t="shared" si="59"/>
        <v>31022.664000000004</v>
      </c>
      <c r="Q156" s="64"/>
      <c r="R156" s="90">
        <f t="shared" si="60"/>
        <v>0</v>
      </c>
      <c r="S156" s="64"/>
      <c r="T156" s="91">
        <f t="shared" si="61"/>
        <v>0</v>
      </c>
      <c r="U156" s="64">
        <v>1.01</v>
      </c>
      <c r="V156" s="90">
        <f t="shared" si="62"/>
        <v>21460.884000000002</v>
      </c>
      <c r="W156" s="96"/>
      <c r="X156" s="91">
        <f t="shared" si="63"/>
        <v>0</v>
      </c>
      <c r="Y156" s="110">
        <f t="shared" si="64"/>
        <v>135777.276</v>
      </c>
      <c r="Z156" s="32"/>
      <c r="AA156" s="12">
        <f t="shared" si="65"/>
        <v>0</v>
      </c>
      <c r="AB156" s="25">
        <f t="shared" si="66"/>
        <v>299389.956</v>
      </c>
      <c r="AC156" s="44"/>
      <c r="AD156" s="8">
        <f t="shared" si="51"/>
        <v>299389.956</v>
      </c>
      <c r="AE156" s="167">
        <v>114316.39200000002</v>
      </c>
      <c r="AF156" s="168">
        <v>0</v>
      </c>
      <c r="AG156" s="168">
        <v>24949.163</v>
      </c>
      <c r="AH156" s="168">
        <v>0</v>
      </c>
      <c r="AI156" s="168">
        <v>299389.956</v>
      </c>
      <c r="AJ156" s="59"/>
      <c r="AK156" s="59"/>
      <c r="AL156" s="45">
        <v>0</v>
      </c>
      <c r="AM156" s="45">
        <v>4834.01</v>
      </c>
      <c r="AN156" s="2">
        <v>0</v>
      </c>
      <c r="AO156" s="2">
        <v>88278.84</v>
      </c>
      <c r="AP156" s="1">
        <v>0</v>
      </c>
      <c r="AQ156" s="1">
        <v>4834.01</v>
      </c>
      <c r="AR156" s="24">
        <v>0</v>
      </c>
      <c r="AS156" s="24">
        <v>8380.38</v>
      </c>
      <c r="AT156" s="1">
        <v>0</v>
      </c>
      <c r="AU156" s="1">
        <v>5551.37</v>
      </c>
      <c r="AV156" s="24">
        <v>0</v>
      </c>
      <c r="AW156" s="24">
        <v>4834.01</v>
      </c>
      <c r="AX156" s="45">
        <v>0</v>
      </c>
      <c r="AY156" s="45">
        <v>6241.62</v>
      </c>
      <c r="AZ156" s="24">
        <v>0</v>
      </c>
      <c r="BA156" s="24">
        <v>4834.01</v>
      </c>
      <c r="BB156" s="24">
        <v>0</v>
      </c>
      <c r="BC156" s="24">
        <v>29843.37</v>
      </c>
      <c r="BD156" s="24">
        <v>0</v>
      </c>
      <c r="BE156" s="24">
        <v>16537.24</v>
      </c>
      <c r="BF156" s="24">
        <v>0</v>
      </c>
      <c r="BG156" s="24">
        <v>63244.3</v>
      </c>
      <c r="BH156" s="24">
        <v>0</v>
      </c>
      <c r="BI156" s="24">
        <v>4834.01</v>
      </c>
      <c r="BJ156" s="9">
        <f t="shared" si="52"/>
        <v>0</v>
      </c>
      <c r="BK156" s="9">
        <f t="shared" si="53"/>
        <v>242247.16999999998</v>
      </c>
      <c r="BL156" s="153">
        <f t="shared" si="54"/>
        <v>242247.16999999998</v>
      </c>
      <c r="BM156" s="154"/>
      <c r="BN156" s="154"/>
      <c r="BO156" s="154"/>
      <c r="BP156" s="154"/>
      <c r="BQ156" s="154"/>
      <c r="BR156" s="155">
        <f t="shared" si="67"/>
        <v>242247.16999999998</v>
      </c>
      <c r="BS156" s="198">
        <v>2585.22</v>
      </c>
      <c r="BT156" s="199">
        <v>4128</v>
      </c>
      <c r="BU156" s="20">
        <f t="shared" si="68"/>
        <v>59728.00600000002</v>
      </c>
      <c r="BV156" s="231">
        <v>48760.92</v>
      </c>
      <c r="BW156" s="229"/>
      <c r="BX156" s="230"/>
    </row>
    <row r="157" spans="1:76" ht="15.75">
      <c r="A157" s="1">
        <v>150</v>
      </c>
      <c r="B157" s="1" t="s">
        <v>140</v>
      </c>
      <c r="C157" s="1">
        <v>396.5</v>
      </c>
      <c r="D157" s="1">
        <v>0</v>
      </c>
      <c r="E157" s="1">
        <f t="shared" si="55"/>
        <v>396.5</v>
      </c>
      <c r="F157" s="2">
        <v>13.01</v>
      </c>
      <c r="G157" s="2">
        <f t="shared" si="69"/>
        <v>5158.465</v>
      </c>
      <c r="H157" s="2">
        <f t="shared" si="48"/>
        <v>30950.79</v>
      </c>
      <c r="I157" s="2">
        <f t="shared" si="56"/>
        <v>13.01</v>
      </c>
      <c r="J157" s="2">
        <f t="shared" si="57"/>
        <v>5158.465</v>
      </c>
      <c r="K157" s="2">
        <f t="shared" si="49"/>
        <v>30950.79</v>
      </c>
      <c r="L157" s="97">
        <f t="shared" si="50"/>
        <v>61901.58</v>
      </c>
      <c r="M157" s="109">
        <v>3.92</v>
      </c>
      <c r="N157" s="89">
        <f t="shared" si="58"/>
        <v>18651.36</v>
      </c>
      <c r="O157" s="64">
        <v>1.46</v>
      </c>
      <c r="P157" s="90">
        <f t="shared" si="59"/>
        <v>6946.68</v>
      </c>
      <c r="Q157" s="64"/>
      <c r="R157" s="90">
        <f t="shared" si="60"/>
        <v>0</v>
      </c>
      <c r="S157" s="64"/>
      <c r="T157" s="91">
        <f t="shared" si="61"/>
        <v>0</v>
      </c>
      <c r="U157" s="64">
        <v>0</v>
      </c>
      <c r="V157" s="90">
        <f t="shared" si="62"/>
        <v>0</v>
      </c>
      <c r="W157" s="96"/>
      <c r="X157" s="91">
        <f t="shared" si="63"/>
        <v>0</v>
      </c>
      <c r="Y157" s="110">
        <f t="shared" si="64"/>
        <v>25598.04</v>
      </c>
      <c r="Z157" s="32">
        <v>-5053.98</v>
      </c>
      <c r="AA157" s="12">
        <f t="shared" si="65"/>
        <v>-0.08164541195879006</v>
      </c>
      <c r="AB157" s="25">
        <f t="shared" si="66"/>
        <v>56847.600000000006</v>
      </c>
      <c r="AC157" s="44"/>
      <c r="AD157" s="8">
        <f t="shared" si="51"/>
        <v>56847.600000000006</v>
      </c>
      <c r="AE157" s="167">
        <v>12941.76</v>
      </c>
      <c r="AF157" s="168">
        <v>0</v>
      </c>
      <c r="AG157" s="168">
        <v>4737.3</v>
      </c>
      <c r="AH157" s="168">
        <v>0</v>
      </c>
      <c r="AI157" s="168">
        <v>56847.600000000006</v>
      </c>
      <c r="AJ157" s="59" t="s">
        <v>296</v>
      </c>
      <c r="AK157" s="59"/>
      <c r="AL157" s="45">
        <v>0</v>
      </c>
      <c r="AM157" s="45">
        <v>1082.45</v>
      </c>
      <c r="AN157" s="2">
        <v>0</v>
      </c>
      <c r="AO157" s="2">
        <v>1082.45</v>
      </c>
      <c r="AP157" s="1">
        <v>0</v>
      </c>
      <c r="AQ157" s="1">
        <v>2118.25</v>
      </c>
      <c r="AR157" s="24">
        <v>0</v>
      </c>
      <c r="AS157" s="24">
        <v>11943.23</v>
      </c>
      <c r="AT157" s="1">
        <v>0</v>
      </c>
      <c r="AU157" s="1">
        <v>5804.2</v>
      </c>
      <c r="AV157" s="24">
        <v>0</v>
      </c>
      <c r="AW157" s="24">
        <v>1082.45</v>
      </c>
      <c r="AX157" s="45">
        <v>0</v>
      </c>
      <c r="AY157" s="45">
        <v>1082.45</v>
      </c>
      <c r="AZ157" s="24">
        <v>0</v>
      </c>
      <c r="BA157" s="24">
        <v>1082.45</v>
      </c>
      <c r="BB157" s="24">
        <v>0</v>
      </c>
      <c r="BC157" s="24">
        <v>1082.45</v>
      </c>
      <c r="BD157" s="24">
        <v>0</v>
      </c>
      <c r="BE157" s="24">
        <v>1082.45</v>
      </c>
      <c r="BF157" s="24">
        <v>0</v>
      </c>
      <c r="BG157" s="24">
        <v>2590.45</v>
      </c>
      <c r="BH157" s="24">
        <v>0</v>
      </c>
      <c r="BI157" s="24">
        <v>8329.01</v>
      </c>
      <c r="BJ157" s="9">
        <f t="shared" si="52"/>
        <v>0</v>
      </c>
      <c r="BK157" s="9">
        <f t="shared" si="53"/>
        <v>38362.29</v>
      </c>
      <c r="BL157" s="153">
        <f t="shared" si="54"/>
        <v>38362.29</v>
      </c>
      <c r="BM157" s="154"/>
      <c r="BN157" s="154">
        <f>15421.96+5369.01</f>
        <v>20790.97</v>
      </c>
      <c r="BO157" s="154"/>
      <c r="BP157" s="154"/>
      <c r="BQ157" s="154"/>
      <c r="BR157" s="155">
        <f t="shared" si="67"/>
        <v>59153.26</v>
      </c>
      <c r="BS157" s="154">
        <f>1141.92+2585.22</f>
        <v>3727.14</v>
      </c>
      <c r="BT157" s="199"/>
      <c r="BU157" s="20">
        <f t="shared" si="68"/>
        <v>1421.4800000000037</v>
      </c>
      <c r="BV157" s="231">
        <v>300913.52</v>
      </c>
      <c r="BW157" s="229"/>
      <c r="BX157" s="230"/>
    </row>
    <row r="158" spans="1:76" ht="15.75">
      <c r="A158" s="1">
        <v>151</v>
      </c>
      <c r="B158" s="1" t="s">
        <v>141</v>
      </c>
      <c r="C158" s="1">
        <v>418.2</v>
      </c>
      <c r="D158" s="1">
        <v>57.6</v>
      </c>
      <c r="E158" s="1">
        <f t="shared" si="55"/>
        <v>475.8</v>
      </c>
      <c r="F158" s="2">
        <v>13.78</v>
      </c>
      <c r="G158" s="2">
        <f t="shared" si="69"/>
        <v>6556.523999999999</v>
      </c>
      <c r="H158" s="2">
        <f t="shared" si="48"/>
        <v>39339.144</v>
      </c>
      <c r="I158" s="2">
        <f t="shared" si="56"/>
        <v>13.78</v>
      </c>
      <c r="J158" s="2">
        <f t="shared" si="57"/>
        <v>6556.523999999999</v>
      </c>
      <c r="K158" s="2">
        <f t="shared" si="49"/>
        <v>39339.144</v>
      </c>
      <c r="L158" s="97">
        <f t="shared" si="50"/>
        <v>78678.288</v>
      </c>
      <c r="M158" s="109">
        <v>3.92</v>
      </c>
      <c r="N158" s="89">
        <f t="shared" si="58"/>
        <v>22381.631999999998</v>
      </c>
      <c r="O158" s="64">
        <v>1.46</v>
      </c>
      <c r="P158" s="90">
        <f t="shared" si="59"/>
        <v>8336.016</v>
      </c>
      <c r="Q158" s="64"/>
      <c r="R158" s="90">
        <f t="shared" si="60"/>
        <v>0</v>
      </c>
      <c r="S158" s="64"/>
      <c r="T158" s="91">
        <f t="shared" si="61"/>
        <v>0</v>
      </c>
      <c r="U158" s="64">
        <v>0</v>
      </c>
      <c r="V158" s="90">
        <f t="shared" si="62"/>
        <v>0</v>
      </c>
      <c r="W158" s="96"/>
      <c r="X158" s="91">
        <f t="shared" si="63"/>
        <v>0</v>
      </c>
      <c r="Y158" s="110">
        <f t="shared" si="64"/>
        <v>30717.647999999997</v>
      </c>
      <c r="Z158" s="32"/>
      <c r="AA158" s="12">
        <f t="shared" si="65"/>
        <v>0</v>
      </c>
      <c r="AB158" s="25">
        <f t="shared" si="66"/>
        <v>78678.288</v>
      </c>
      <c r="AC158" s="44"/>
      <c r="AD158" s="8">
        <f t="shared" si="51"/>
        <v>78678.288</v>
      </c>
      <c r="AE158" s="167">
        <v>30717.648</v>
      </c>
      <c r="AF158" s="168">
        <v>0</v>
      </c>
      <c r="AG158" s="168">
        <v>6556.524</v>
      </c>
      <c r="AH158" s="168">
        <v>0</v>
      </c>
      <c r="AI158" s="168">
        <v>78678.288</v>
      </c>
      <c r="AJ158" s="59"/>
      <c r="AK158" s="59"/>
      <c r="AL158" s="45">
        <v>0</v>
      </c>
      <c r="AM158" s="45">
        <v>2155.37</v>
      </c>
      <c r="AN158" s="2">
        <v>0</v>
      </c>
      <c r="AO158" s="2">
        <v>25724.4</v>
      </c>
      <c r="AP158" s="1">
        <v>0</v>
      </c>
      <c r="AQ158" s="1">
        <v>2155.37</v>
      </c>
      <c r="AR158" s="24">
        <v>0</v>
      </c>
      <c r="AS158" s="24">
        <v>5124.24</v>
      </c>
      <c r="AT158" s="1">
        <v>0</v>
      </c>
      <c r="AU158" s="1">
        <v>2892.86</v>
      </c>
      <c r="AV158" s="24">
        <v>0</v>
      </c>
      <c r="AW158" s="24">
        <v>2892.86</v>
      </c>
      <c r="AX158" s="45">
        <v>0</v>
      </c>
      <c r="AY158" s="45">
        <v>6132.86</v>
      </c>
      <c r="AZ158" s="24">
        <v>0</v>
      </c>
      <c r="BA158" s="24">
        <v>2892.86</v>
      </c>
      <c r="BB158" s="24">
        <v>0</v>
      </c>
      <c r="BC158" s="24">
        <v>9132.6</v>
      </c>
      <c r="BD158" s="24">
        <v>0</v>
      </c>
      <c r="BE158" s="24">
        <v>7286.19</v>
      </c>
      <c r="BF158" s="24">
        <v>0</v>
      </c>
      <c r="BG158" s="24">
        <v>6682.77</v>
      </c>
      <c r="BH158" s="24">
        <v>0</v>
      </c>
      <c r="BI158" s="24">
        <v>2155.37</v>
      </c>
      <c r="BJ158" s="9">
        <f t="shared" si="52"/>
        <v>0</v>
      </c>
      <c r="BK158" s="9">
        <f t="shared" si="53"/>
        <v>75227.75</v>
      </c>
      <c r="BL158" s="153">
        <f t="shared" si="54"/>
        <v>75227.75</v>
      </c>
      <c r="BM158" s="154"/>
      <c r="BN158" s="154"/>
      <c r="BO158" s="154"/>
      <c r="BP158" s="154"/>
      <c r="BQ158" s="154"/>
      <c r="BR158" s="155">
        <f t="shared" si="67"/>
        <v>75227.75</v>
      </c>
      <c r="BS158" s="198">
        <v>694.67</v>
      </c>
      <c r="BT158" s="199"/>
      <c r="BU158" s="20">
        <f t="shared" si="68"/>
        <v>4145.2080000000005</v>
      </c>
      <c r="BV158" s="231">
        <v>109875.16</v>
      </c>
      <c r="BW158" s="229"/>
      <c r="BX158" s="230"/>
    </row>
    <row r="159" spans="1:76" ht="15.75">
      <c r="A159" s="1">
        <v>152</v>
      </c>
      <c r="B159" s="1" t="s">
        <v>142</v>
      </c>
      <c r="C159" s="1">
        <v>600.6</v>
      </c>
      <c r="D159" s="1">
        <v>0</v>
      </c>
      <c r="E159" s="1">
        <f t="shared" si="55"/>
        <v>600.6</v>
      </c>
      <c r="F159" s="2">
        <v>13.78</v>
      </c>
      <c r="G159" s="2">
        <f t="shared" si="69"/>
        <v>8276.268</v>
      </c>
      <c r="H159" s="2">
        <f t="shared" si="48"/>
        <v>49657.608</v>
      </c>
      <c r="I159" s="2">
        <f t="shared" si="56"/>
        <v>13.78</v>
      </c>
      <c r="J159" s="2">
        <f t="shared" si="57"/>
        <v>8276.268</v>
      </c>
      <c r="K159" s="2">
        <f t="shared" si="49"/>
        <v>49657.608</v>
      </c>
      <c r="L159" s="97">
        <f t="shared" si="50"/>
        <v>99315.216</v>
      </c>
      <c r="M159" s="109">
        <v>3.92</v>
      </c>
      <c r="N159" s="89">
        <f t="shared" si="58"/>
        <v>28252.224</v>
      </c>
      <c r="O159" s="64">
        <v>1.46</v>
      </c>
      <c r="P159" s="90">
        <f t="shared" si="59"/>
        <v>10522.511999999999</v>
      </c>
      <c r="Q159" s="64"/>
      <c r="R159" s="90">
        <f t="shared" si="60"/>
        <v>0</v>
      </c>
      <c r="S159" s="64"/>
      <c r="T159" s="91">
        <f t="shared" si="61"/>
        <v>0</v>
      </c>
      <c r="U159" s="64">
        <v>0</v>
      </c>
      <c r="V159" s="90">
        <f t="shared" si="62"/>
        <v>0</v>
      </c>
      <c r="W159" s="96"/>
      <c r="X159" s="91">
        <f t="shared" si="63"/>
        <v>0</v>
      </c>
      <c r="Y159" s="110">
        <f t="shared" si="64"/>
        <v>38774.736</v>
      </c>
      <c r="Z159" s="32"/>
      <c r="AA159" s="12">
        <f t="shared" si="65"/>
        <v>0</v>
      </c>
      <c r="AB159" s="25">
        <f t="shared" si="66"/>
        <v>99315.216</v>
      </c>
      <c r="AC159" s="44"/>
      <c r="AD159" s="8">
        <f t="shared" si="51"/>
        <v>99315.216</v>
      </c>
      <c r="AE159" s="167">
        <v>19603.584000000003</v>
      </c>
      <c r="AF159" s="168">
        <v>0</v>
      </c>
      <c r="AG159" s="168">
        <v>8276.268</v>
      </c>
      <c r="AH159" s="168">
        <v>0</v>
      </c>
      <c r="AI159" s="168">
        <v>99315.216</v>
      </c>
      <c r="AJ159" s="59" t="s">
        <v>296</v>
      </c>
      <c r="AK159" s="59"/>
      <c r="AL159" s="45">
        <v>0</v>
      </c>
      <c r="AM159" s="45">
        <v>1819.64</v>
      </c>
      <c r="AN159" s="2">
        <v>0</v>
      </c>
      <c r="AO159" s="2">
        <v>2972.83</v>
      </c>
      <c r="AP159" s="1">
        <v>0</v>
      </c>
      <c r="AQ159" s="1">
        <v>23599.48</v>
      </c>
      <c r="AR159" s="24">
        <v>0</v>
      </c>
      <c r="AS159" s="24">
        <v>39208.51</v>
      </c>
      <c r="AT159" s="1">
        <v>0</v>
      </c>
      <c r="AU159" s="1">
        <v>1639.64</v>
      </c>
      <c r="AV159" s="24">
        <v>0</v>
      </c>
      <c r="AW159" s="24">
        <v>2097.4</v>
      </c>
      <c r="AX159" s="45">
        <v>0</v>
      </c>
      <c r="AY159" s="45">
        <v>18262.44</v>
      </c>
      <c r="AZ159" s="24">
        <v>0</v>
      </c>
      <c r="BA159" s="24">
        <v>1639.64</v>
      </c>
      <c r="BB159" s="24">
        <v>0</v>
      </c>
      <c r="BC159" s="24">
        <v>5447.01</v>
      </c>
      <c r="BD159" s="24">
        <v>0</v>
      </c>
      <c r="BE159" s="24">
        <v>4659.04</v>
      </c>
      <c r="BF159" s="24">
        <v>0</v>
      </c>
      <c r="BG159" s="24">
        <v>6167.04</v>
      </c>
      <c r="BH159" s="24">
        <v>0</v>
      </c>
      <c r="BI159" s="24">
        <v>13639.64</v>
      </c>
      <c r="BJ159" s="9">
        <f t="shared" si="52"/>
        <v>0</v>
      </c>
      <c r="BK159" s="9">
        <f t="shared" si="53"/>
        <v>121152.30999999998</v>
      </c>
      <c r="BL159" s="153">
        <f t="shared" si="54"/>
        <v>121152.30999999998</v>
      </c>
      <c r="BM159" s="154"/>
      <c r="BN159" s="154"/>
      <c r="BO159" s="154"/>
      <c r="BP159" s="154"/>
      <c r="BQ159" s="154"/>
      <c r="BR159" s="155">
        <f t="shared" si="67"/>
        <v>121152.30999999998</v>
      </c>
      <c r="BS159" s="198">
        <v>876.88</v>
      </c>
      <c r="BT159" s="199"/>
      <c r="BU159" s="20">
        <f t="shared" si="68"/>
        <v>-20960.21399999998</v>
      </c>
      <c r="BV159" s="231">
        <v>71106.38</v>
      </c>
      <c r="BW159" s="229"/>
      <c r="BX159" s="230"/>
    </row>
    <row r="160" spans="1:76" ht="15.75">
      <c r="A160" s="1">
        <v>153</v>
      </c>
      <c r="B160" s="1" t="s">
        <v>262</v>
      </c>
      <c r="C160" s="1">
        <v>470.4</v>
      </c>
      <c r="D160" s="1">
        <v>0</v>
      </c>
      <c r="E160" s="1">
        <f t="shared" si="55"/>
        <v>470.4</v>
      </c>
      <c r="F160" s="2">
        <v>8.9</v>
      </c>
      <c r="G160" s="2">
        <f t="shared" si="69"/>
        <v>4186.56</v>
      </c>
      <c r="H160" s="2">
        <f t="shared" si="48"/>
        <v>25119.36</v>
      </c>
      <c r="I160" s="2">
        <f t="shared" si="56"/>
        <v>8.9</v>
      </c>
      <c r="J160" s="2">
        <f t="shared" si="57"/>
        <v>4186.56</v>
      </c>
      <c r="K160" s="2">
        <f t="shared" si="49"/>
        <v>25119.36</v>
      </c>
      <c r="L160" s="97">
        <f t="shared" si="50"/>
        <v>50238.72</v>
      </c>
      <c r="M160" s="109">
        <v>3.92</v>
      </c>
      <c r="N160" s="89">
        <f t="shared" si="58"/>
        <v>22127.615999999998</v>
      </c>
      <c r="O160" s="64"/>
      <c r="P160" s="90">
        <f t="shared" si="59"/>
        <v>0</v>
      </c>
      <c r="Q160" s="64"/>
      <c r="R160" s="90">
        <f t="shared" si="60"/>
        <v>0</v>
      </c>
      <c r="S160" s="64"/>
      <c r="T160" s="91">
        <f t="shared" si="61"/>
        <v>0</v>
      </c>
      <c r="U160" s="64">
        <v>0</v>
      </c>
      <c r="V160" s="90">
        <f t="shared" si="62"/>
        <v>0</v>
      </c>
      <c r="W160" s="96"/>
      <c r="X160" s="91">
        <f t="shared" si="63"/>
        <v>0</v>
      </c>
      <c r="Y160" s="110">
        <f t="shared" si="64"/>
        <v>22127.615999999998</v>
      </c>
      <c r="Z160" s="32">
        <v>-145039.02</v>
      </c>
      <c r="AA160" s="12">
        <f t="shared" si="65"/>
        <v>-2.8869967228464417</v>
      </c>
      <c r="AB160" s="25">
        <f t="shared" si="66"/>
        <v>-94800.29999999999</v>
      </c>
      <c r="AC160" s="44"/>
      <c r="AD160" s="8">
        <f t="shared" si="51"/>
        <v>-94800.29999999999</v>
      </c>
      <c r="AE160" s="167">
        <v>15353.856</v>
      </c>
      <c r="AF160" s="168">
        <v>0</v>
      </c>
      <c r="AG160" s="168">
        <v>1279.488</v>
      </c>
      <c r="AH160" s="168">
        <v>0</v>
      </c>
      <c r="AI160" s="168">
        <v>15353.856</v>
      </c>
      <c r="AJ160" s="59" t="s">
        <v>299</v>
      </c>
      <c r="AK160" s="26" t="s">
        <v>352</v>
      </c>
      <c r="AL160" s="45">
        <v>0</v>
      </c>
      <c r="AM160" s="45">
        <v>1284.19</v>
      </c>
      <c r="AN160" s="2">
        <v>0</v>
      </c>
      <c r="AO160" s="2">
        <v>1284.19</v>
      </c>
      <c r="AP160" s="1">
        <v>0</v>
      </c>
      <c r="AQ160" s="1">
        <v>1284.19</v>
      </c>
      <c r="AR160" s="24">
        <v>0</v>
      </c>
      <c r="AS160" s="24">
        <v>3545.21</v>
      </c>
      <c r="AT160" s="1">
        <v>0</v>
      </c>
      <c r="AU160" s="1">
        <v>1284.19</v>
      </c>
      <c r="AV160" s="24">
        <v>0</v>
      </c>
      <c r="AW160" s="24">
        <v>1284.19</v>
      </c>
      <c r="AX160" s="45">
        <v>0</v>
      </c>
      <c r="AY160" s="45">
        <v>1284.19</v>
      </c>
      <c r="AZ160" s="24">
        <v>0</v>
      </c>
      <c r="BA160" s="24">
        <v>1284.19</v>
      </c>
      <c r="BB160" s="24">
        <v>0</v>
      </c>
      <c r="BC160" s="24">
        <v>1284.19</v>
      </c>
      <c r="BD160" s="24">
        <v>0</v>
      </c>
      <c r="BE160" s="24">
        <v>1284.19</v>
      </c>
      <c r="BF160" s="24">
        <v>0</v>
      </c>
      <c r="BG160" s="24">
        <v>2110.19</v>
      </c>
      <c r="BH160" s="24">
        <v>0</v>
      </c>
      <c r="BI160" s="24">
        <v>1284.19</v>
      </c>
      <c r="BJ160" s="9">
        <f t="shared" si="52"/>
        <v>0</v>
      </c>
      <c r="BK160" s="9">
        <f t="shared" si="53"/>
        <v>18497.300000000003</v>
      </c>
      <c r="BL160" s="153">
        <f t="shared" si="54"/>
        <v>18497.300000000003</v>
      </c>
      <c r="BM160" s="154"/>
      <c r="BN160" s="154"/>
      <c r="BO160" s="154"/>
      <c r="BP160" s="154"/>
      <c r="BQ160" s="154"/>
      <c r="BR160" s="155">
        <f t="shared" si="67"/>
        <v>18497.300000000003</v>
      </c>
      <c r="BS160" s="198"/>
      <c r="BT160" s="199"/>
      <c r="BU160" s="20">
        <f t="shared" si="68"/>
        <v>-113297.59999999999</v>
      </c>
      <c r="BV160" s="231">
        <v>237404.43</v>
      </c>
      <c r="BW160" s="229"/>
      <c r="BX160" s="230"/>
    </row>
    <row r="161" spans="1:76" ht="15.75">
      <c r="A161" s="1">
        <v>154</v>
      </c>
      <c r="B161" s="1" t="s">
        <v>143</v>
      </c>
      <c r="C161" s="1">
        <v>471.2</v>
      </c>
      <c r="D161" s="1">
        <v>0</v>
      </c>
      <c r="E161" s="1">
        <f t="shared" si="55"/>
        <v>471.2</v>
      </c>
      <c r="F161" s="2">
        <v>9.71</v>
      </c>
      <c r="G161" s="2">
        <f t="shared" si="69"/>
        <v>4575.352</v>
      </c>
      <c r="H161" s="2">
        <f t="shared" si="48"/>
        <v>27452.112</v>
      </c>
      <c r="I161" s="2">
        <f t="shared" si="56"/>
        <v>9.71</v>
      </c>
      <c r="J161" s="2">
        <f t="shared" si="57"/>
        <v>4575.352</v>
      </c>
      <c r="K161" s="2">
        <f t="shared" si="49"/>
        <v>27452.112</v>
      </c>
      <c r="L161" s="97">
        <f t="shared" si="50"/>
        <v>54904.224</v>
      </c>
      <c r="M161" s="109">
        <v>3.92</v>
      </c>
      <c r="N161" s="89">
        <f t="shared" si="58"/>
        <v>22165.248</v>
      </c>
      <c r="O161" s="64">
        <v>1.46</v>
      </c>
      <c r="P161" s="90">
        <f t="shared" si="59"/>
        <v>8255.423999999999</v>
      </c>
      <c r="Q161" s="64"/>
      <c r="R161" s="90">
        <f t="shared" si="60"/>
        <v>0</v>
      </c>
      <c r="S161" s="64"/>
      <c r="T161" s="91">
        <f t="shared" si="61"/>
        <v>0</v>
      </c>
      <c r="U161" s="64">
        <v>0</v>
      </c>
      <c r="V161" s="90">
        <f t="shared" si="62"/>
        <v>0</v>
      </c>
      <c r="W161" s="96"/>
      <c r="X161" s="91">
        <f t="shared" si="63"/>
        <v>0</v>
      </c>
      <c r="Y161" s="110">
        <f t="shared" si="64"/>
        <v>30420.672</v>
      </c>
      <c r="Z161" s="32">
        <v>-25485.2</v>
      </c>
      <c r="AA161" s="12">
        <f t="shared" si="65"/>
        <v>-0.4641755796421055</v>
      </c>
      <c r="AB161" s="25">
        <f t="shared" si="66"/>
        <v>29419.024</v>
      </c>
      <c r="AC161" s="44"/>
      <c r="AD161" s="8">
        <f t="shared" si="51"/>
        <v>29419.024</v>
      </c>
      <c r="AE161" s="167">
        <v>15379.968</v>
      </c>
      <c r="AF161" s="168">
        <v>0</v>
      </c>
      <c r="AG161" s="168">
        <v>2451.5853333333334</v>
      </c>
      <c r="AH161" s="168">
        <v>0</v>
      </c>
      <c r="AI161" s="168">
        <v>29419.024</v>
      </c>
      <c r="AJ161" s="59" t="s">
        <v>299</v>
      </c>
      <c r="AK161" s="59"/>
      <c r="AL161" s="45">
        <v>0</v>
      </c>
      <c r="AM161" s="45">
        <v>1285.56</v>
      </c>
      <c r="AN161" s="2">
        <v>0</v>
      </c>
      <c r="AO161" s="2">
        <v>4788.51</v>
      </c>
      <c r="AP161" s="1">
        <v>0</v>
      </c>
      <c r="AQ161" s="1">
        <v>1285.56</v>
      </c>
      <c r="AR161" s="24">
        <v>0</v>
      </c>
      <c r="AS161" s="24">
        <v>4254.43</v>
      </c>
      <c r="AT161" s="1">
        <v>0</v>
      </c>
      <c r="AU161" s="1">
        <v>1285.56</v>
      </c>
      <c r="AV161" s="24">
        <v>0</v>
      </c>
      <c r="AW161" s="24">
        <v>1285.56</v>
      </c>
      <c r="AX161" s="45">
        <v>0</v>
      </c>
      <c r="AY161" s="45">
        <v>1285.56</v>
      </c>
      <c r="AZ161" s="24">
        <v>0</v>
      </c>
      <c r="BA161" s="24">
        <v>1285.56</v>
      </c>
      <c r="BB161" s="24">
        <v>0</v>
      </c>
      <c r="BC161" s="24">
        <v>2785.56</v>
      </c>
      <c r="BD161" s="24">
        <v>0</v>
      </c>
      <c r="BE161" s="24">
        <v>4304.96</v>
      </c>
      <c r="BF161" s="24">
        <v>0</v>
      </c>
      <c r="BG161" s="24">
        <v>4304.96</v>
      </c>
      <c r="BH161" s="24">
        <v>0</v>
      </c>
      <c r="BI161" s="24">
        <v>1332.36</v>
      </c>
      <c r="BJ161" s="9">
        <f t="shared" si="52"/>
        <v>0</v>
      </c>
      <c r="BK161" s="9">
        <f t="shared" si="53"/>
        <v>29484.14</v>
      </c>
      <c r="BL161" s="153">
        <f t="shared" si="54"/>
        <v>29484.14</v>
      </c>
      <c r="BM161" s="154"/>
      <c r="BN161" s="154"/>
      <c r="BO161" s="154"/>
      <c r="BP161" s="154"/>
      <c r="BQ161" s="154"/>
      <c r="BR161" s="155">
        <f t="shared" si="67"/>
        <v>29484.14</v>
      </c>
      <c r="BS161" s="198">
        <v>687.51</v>
      </c>
      <c r="BT161" s="199"/>
      <c r="BU161" s="20">
        <f t="shared" si="68"/>
        <v>622.3940000000018</v>
      </c>
      <c r="BV161" s="231">
        <v>6538</v>
      </c>
      <c r="BW161" s="229"/>
      <c r="BX161" s="230"/>
    </row>
    <row r="162" spans="1:76" ht="15.75">
      <c r="A162" s="1">
        <v>155</v>
      </c>
      <c r="B162" s="1" t="s">
        <v>144</v>
      </c>
      <c r="C162" s="1">
        <v>470.5</v>
      </c>
      <c r="D162" s="1">
        <v>0</v>
      </c>
      <c r="E162" s="1">
        <f t="shared" si="55"/>
        <v>470.5</v>
      </c>
      <c r="F162" s="2">
        <v>9.71</v>
      </c>
      <c r="G162" s="2">
        <f t="shared" si="69"/>
        <v>4568.555</v>
      </c>
      <c r="H162" s="2">
        <f t="shared" si="48"/>
        <v>27411.33</v>
      </c>
      <c r="I162" s="2">
        <f t="shared" si="56"/>
        <v>9.71</v>
      </c>
      <c r="J162" s="2">
        <f t="shared" si="57"/>
        <v>4568.555</v>
      </c>
      <c r="K162" s="2">
        <f t="shared" si="49"/>
        <v>27411.33</v>
      </c>
      <c r="L162" s="97">
        <f t="shared" si="50"/>
        <v>54822.66</v>
      </c>
      <c r="M162" s="109">
        <v>3.92</v>
      </c>
      <c r="N162" s="89">
        <f t="shared" si="58"/>
        <v>22132.32</v>
      </c>
      <c r="O162" s="64">
        <v>1.46</v>
      </c>
      <c r="P162" s="90">
        <f t="shared" si="59"/>
        <v>8243.16</v>
      </c>
      <c r="Q162" s="64"/>
      <c r="R162" s="90">
        <f t="shared" si="60"/>
        <v>0</v>
      </c>
      <c r="S162" s="64"/>
      <c r="T162" s="91">
        <f t="shared" si="61"/>
        <v>0</v>
      </c>
      <c r="U162" s="64">
        <v>0</v>
      </c>
      <c r="V162" s="90">
        <f t="shared" si="62"/>
        <v>0</v>
      </c>
      <c r="W162" s="96"/>
      <c r="X162" s="91">
        <f t="shared" si="63"/>
        <v>0</v>
      </c>
      <c r="Y162" s="110">
        <f t="shared" si="64"/>
        <v>30375.48</v>
      </c>
      <c r="Z162" s="32">
        <v>-32496.19</v>
      </c>
      <c r="AA162" s="12">
        <f t="shared" si="65"/>
        <v>-0.5927510631552718</v>
      </c>
      <c r="AB162" s="25">
        <f t="shared" si="66"/>
        <v>22326.470000000005</v>
      </c>
      <c r="AC162" s="44"/>
      <c r="AD162" s="8">
        <f t="shared" si="51"/>
        <v>22326.470000000005</v>
      </c>
      <c r="AE162" s="167">
        <v>15357.119999999999</v>
      </c>
      <c r="AF162" s="168">
        <v>0</v>
      </c>
      <c r="AG162" s="168">
        <v>1860.5391666666674</v>
      </c>
      <c r="AH162" s="168">
        <v>0</v>
      </c>
      <c r="AI162" s="168">
        <v>22326.47000000001</v>
      </c>
      <c r="AJ162" s="59" t="s">
        <v>299</v>
      </c>
      <c r="AK162" s="59"/>
      <c r="AL162" s="45">
        <v>0</v>
      </c>
      <c r="AM162" s="45">
        <v>1284.47</v>
      </c>
      <c r="AN162" s="2">
        <v>0</v>
      </c>
      <c r="AO162" s="2">
        <v>2617.66</v>
      </c>
      <c r="AP162" s="1">
        <v>0</v>
      </c>
      <c r="AQ162" s="1">
        <v>1284.47</v>
      </c>
      <c r="AR162" s="24">
        <v>0</v>
      </c>
      <c r="AS162" s="24">
        <v>4253.34</v>
      </c>
      <c r="AT162" s="1">
        <v>0</v>
      </c>
      <c r="AU162" s="1">
        <v>7795.05</v>
      </c>
      <c r="AV162" s="24">
        <v>0</v>
      </c>
      <c r="AW162" s="24">
        <v>1284.47</v>
      </c>
      <c r="AX162" s="45">
        <v>0</v>
      </c>
      <c r="AY162" s="45">
        <v>1284.47</v>
      </c>
      <c r="AZ162" s="24">
        <v>0</v>
      </c>
      <c r="BA162" s="24">
        <v>1284.47</v>
      </c>
      <c r="BB162" s="24">
        <v>0</v>
      </c>
      <c r="BC162" s="24">
        <v>2784.47</v>
      </c>
      <c r="BD162" s="24">
        <v>0</v>
      </c>
      <c r="BE162" s="24">
        <v>4303.87</v>
      </c>
      <c r="BF162" s="24">
        <v>0</v>
      </c>
      <c r="BG162" s="24">
        <v>6994.38</v>
      </c>
      <c r="BH162" s="24">
        <v>0</v>
      </c>
      <c r="BI162" s="24">
        <v>4303.87</v>
      </c>
      <c r="BJ162" s="9">
        <f t="shared" si="52"/>
        <v>0</v>
      </c>
      <c r="BK162" s="9">
        <f t="shared" si="53"/>
        <v>39474.990000000005</v>
      </c>
      <c r="BL162" s="153">
        <f t="shared" si="54"/>
        <v>39474.990000000005</v>
      </c>
      <c r="BM162" s="154"/>
      <c r="BN162" s="154"/>
      <c r="BO162" s="154"/>
      <c r="BP162" s="154"/>
      <c r="BQ162" s="154"/>
      <c r="BR162" s="155">
        <f t="shared" si="67"/>
        <v>39474.990000000005</v>
      </c>
      <c r="BS162" s="198">
        <v>686.93</v>
      </c>
      <c r="BT162" s="199"/>
      <c r="BU162" s="20">
        <f t="shared" si="68"/>
        <v>-16461.59</v>
      </c>
      <c r="BV162" s="231">
        <v>23400.45</v>
      </c>
      <c r="BW162" s="229"/>
      <c r="BX162" s="230"/>
    </row>
    <row r="163" spans="1:76" ht="15.75">
      <c r="A163" s="1">
        <v>156</v>
      </c>
      <c r="B163" s="1" t="s">
        <v>145</v>
      </c>
      <c r="C163" s="1">
        <v>348.8</v>
      </c>
      <c r="D163" s="1">
        <v>0</v>
      </c>
      <c r="E163" s="1">
        <f t="shared" si="55"/>
        <v>348.8</v>
      </c>
      <c r="F163" s="2">
        <v>8.94</v>
      </c>
      <c r="G163" s="2">
        <f t="shared" si="69"/>
        <v>3118.272</v>
      </c>
      <c r="H163" s="2">
        <f t="shared" si="48"/>
        <v>18709.631999999998</v>
      </c>
      <c r="I163" s="2">
        <f t="shared" si="56"/>
        <v>8.94</v>
      </c>
      <c r="J163" s="2">
        <f t="shared" si="57"/>
        <v>3118.272</v>
      </c>
      <c r="K163" s="2">
        <f t="shared" si="49"/>
        <v>18709.631999999998</v>
      </c>
      <c r="L163" s="97">
        <f t="shared" si="50"/>
        <v>37419.263999999996</v>
      </c>
      <c r="M163" s="109">
        <v>3.92</v>
      </c>
      <c r="N163" s="89">
        <f t="shared" si="58"/>
        <v>16407.552</v>
      </c>
      <c r="O163" s="64">
        <v>1.46</v>
      </c>
      <c r="P163" s="90">
        <f t="shared" si="59"/>
        <v>6110.976</v>
      </c>
      <c r="Q163" s="64"/>
      <c r="R163" s="90">
        <f t="shared" si="60"/>
        <v>0</v>
      </c>
      <c r="S163" s="64"/>
      <c r="T163" s="91">
        <f t="shared" si="61"/>
        <v>0</v>
      </c>
      <c r="U163" s="64">
        <v>0</v>
      </c>
      <c r="V163" s="90">
        <f t="shared" si="62"/>
        <v>0</v>
      </c>
      <c r="W163" s="96"/>
      <c r="X163" s="91">
        <f t="shared" si="63"/>
        <v>0</v>
      </c>
      <c r="Y163" s="110">
        <f t="shared" si="64"/>
        <v>22518.528</v>
      </c>
      <c r="Z163" s="32"/>
      <c r="AA163" s="12">
        <f t="shared" si="65"/>
        <v>0</v>
      </c>
      <c r="AB163" s="25">
        <f t="shared" si="66"/>
        <v>37419.263999999996</v>
      </c>
      <c r="AC163" s="44"/>
      <c r="AD163" s="8">
        <f t="shared" si="51"/>
        <v>37419.263999999996</v>
      </c>
      <c r="AE163" s="167">
        <v>11384.832000000002</v>
      </c>
      <c r="AF163" s="168">
        <v>0</v>
      </c>
      <c r="AG163" s="168">
        <v>3118.2719999999995</v>
      </c>
      <c r="AH163" s="168">
        <v>0</v>
      </c>
      <c r="AI163" s="168">
        <v>37419.263999999996</v>
      </c>
      <c r="AJ163" s="59" t="s">
        <v>299</v>
      </c>
      <c r="AK163" s="59"/>
      <c r="AL163" s="45">
        <v>0</v>
      </c>
      <c r="AM163" s="45">
        <v>952.22</v>
      </c>
      <c r="AN163" s="2">
        <v>0</v>
      </c>
      <c r="AO163" s="2">
        <v>952.22</v>
      </c>
      <c r="AP163" s="1">
        <v>0</v>
      </c>
      <c r="AQ163" s="1">
        <v>952.22</v>
      </c>
      <c r="AR163" s="24">
        <v>0</v>
      </c>
      <c r="AS163" s="24">
        <v>1650.72</v>
      </c>
      <c r="AT163" s="1">
        <v>0</v>
      </c>
      <c r="AU163" s="1">
        <v>12888.01</v>
      </c>
      <c r="AV163" s="24">
        <v>0</v>
      </c>
      <c r="AW163" s="24">
        <v>952.22</v>
      </c>
      <c r="AX163" s="45">
        <v>0</v>
      </c>
      <c r="AY163" s="45">
        <v>952.22</v>
      </c>
      <c r="AZ163" s="24">
        <v>0</v>
      </c>
      <c r="BA163" s="24">
        <v>952.22</v>
      </c>
      <c r="BB163" s="24">
        <v>0</v>
      </c>
      <c r="BC163" s="24">
        <v>952.22</v>
      </c>
      <c r="BD163" s="24">
        <v>0</v>
      </c>
      <c r="BE163" s="24">
        <v>952.22</v>
      </c>
      <c r="BF163" s="24">
        <v>0</v>
      </c>
      <c r="BG163" s="24">
        <v>1778.22</v>
      </c>
      <c r="BH163" s="24">
        <v>0</v>
      </c>
      <c r="BI163" s="24">
        <v>952.22</v>
      </c>
      <c r="BJ163" s="9">
        <f t="shared" si="52"/>
        <v>0</v>
      </c>
      <c r="BK163" s="9">
        <f t="shared" si="53"/>
        <v>24886.930000000008</v>
      </c>
      <c r="BL163" s="153">
        <f t="shared" si="54"/>
        <v>24886.930000000008</v>
      </c>
      <c r="BM163" s="154"/>
      <c r="BN163" s="154"/>
      <c r="BO163" s="154"/>
      <c r="BP163" s="154"/>
      <c r="BQ163" s="154"/>
      <c r="BR163" s="155">
        <f t="shared" si="67"/>
        <v>24886.930000000008</v>
      </c>
      <c r="BS163" s="154">
        <f>1004.54+1016.16</f>
        <v>2020.6999999999998</v>
      </c>
      <c r="BT163" s="199"/>
      <c r="BU163" s="20">
        <f t="shared" si="68"/>
        <v>14553.033999999989</v>
      </c>
      <c r="BV163" s="231">
        <v>51556.91</v>
      </c>
      <c r="BW163" s="229"/>
      <c r="BX163" s="230"/>
    </row>
    <row r="164" spans="1:76" ht="15.75">
      <c r="A164" s="1">
        <v>157</v>
      </c>
      <c r="B164" s="1" t="s">
        <v>146</v>
      </c>
      <c r="C164" s="1">
        <v>7623.3</v>
      </c>
      <c r="D164" s="1">
        <v>159</v>
      </c>
      <c r="E164" s="1">
        <f t="shared" si="55"/>
        <v>7782.3</v>
      </c>
      <c r="F164" s="2">
        <v>15.87</v>
      </c>
      <c r="G164" s="2">
        <f t="shared" si="69"/>
        <v>123505.101</v>
      </c>
      <c r="H164" s="2">
        <f t="shared" si="48"/>
        <v>741030.6059999999</v>
      </c>
      <c r="I164" s="2">
        <f t="shared" si="56"/>
        <v>15.87</v>
      </c>
      <c r="J164" s="2">
        <f t="shared" si="57"/>
        <v>123505.101</v>
      </c>
      <c r="K164" s="2">
        <f t="shared" si="49"/>
        <v>741030.6059999999</v>
      </c>
      <c r="L164" s="97">
        <f t="shared" si="50"/>
        <v>1482061.2119999998</v>
      </c>
      <c r="M164" s="109">
        <v>3.92</v>
      </c>
      <c r="N164" s="89">
        <f t="shared" si="58"/>
        <v>366079.392</v>
      </c>
      <c r="O164" s="64">
        <v>1.46</v>
      </c>
      <c r="P164" s="90">
        <f t="shared" si="59"/>
        <v>136345.896</v>
      </c>
      <c r="Q164" s="64"/>
      <c r="R164" s="90">
        <f t="shared" si="60"/>
        <v>0</v>
      </c>
      <c r="S164" s="64"/>
      <c r="T164" s="91">
        <f t="shared" si="61"/>
        <v>0</v>
      </c>
      <c r="U164" s="64">
        <v>0.28</v>
      </c>
      <c r="V164" s="90">
        <f t="shared" si="62"/>
        <v>26148.528000000006</v>
      </c>
      <c r="W164" s="96"/>
      <c r="X164" s="91">
        <f t="shared" si="63"/>
        <v>0</v>
      </c>
      <c r="Y164" s="110">
        <f t="shared" si="64"/>
        <v>528573.816</v>
      </c>
      <c r="Z164" s="32">
        <v>-759203.16</v>
      </c>
      <c r="AA164" s="12">
        <f t="shared" si="65"/>
        <v>-0.5122616757343489</v>
      </c>
      <c r="AB164" s="25">
        <f t="shared" si="66"/>
        <v>722858.0519999998</v>
      </c>
      <c r="AC164" s="166"/>
      <c r="AD164" s="8">
        <f t="shared" si="51"/>
        <v>722858.0519999998</v>
      </c>
      <c r="AE164" s="167">
        <v>507945.28800000006</v>
      </c>
      <c r="AF164" s="168">
        <v>29193.97777045402</v>
      </c>
      <c r="AG164" s="168">
        <v>21044.193229545956</v>
      </c>
      <c r="AH164" s="168">
        <v>350327.73324544827</v>
      </c>
      <c r="AI164" s="168">
        <v>252530.31875455147</v>
      </c>
      <c r="AJ164" s="59"/>
      <c r="AK164" s="59"/>
      <c r="AL164" s="45">
        <v>25319.04</v>
      </c>
      <c r="AM164" s="45">
        <v>21934.86</v>
      </c>
      <c r="AN164" s="2">
        <v>23522.34</v>
      </c>
      <c r="AO164" s="2">
        <v>157909.34</v>
      </c>
      <c r="AP164" s="1">
        <v>133295.81</v>
      </c>
      <c r="AQ164" s="1">
        <v>124993.52</v>
      </c>
      <c r="AR164" s="24">
        <v>26902.32</v>
      </c>
      <c r="AS164" s="24">
        <v>23210.86</v>
      </c>
      <c r="AT164" s="1">
        <v>38612.96</v>
      </c>
      <c r="AU164" s="1">
        <v>49296.63</v>
      </c>
      <c r="AV164" s="24">
        <v>35222.6</v>
      </c>
      <c r="AW164" s="24">
        <v>80489.97</v>
      </c>
      <c r="AX164" s="45">
        <v>50298.91</v>
      </c>
      <c r="AY164" s="45">
        <v>44234.48</v>
      </c>
      <c r="AZ164" s="24">
        <v>136793.85</v>
      </c>
      <c r="BA164" s="24">
        <v>34858.96</v>
      </c>
      <c r="BB164" s="24">
        <v>170114.92</v>
      </c>
      <c r="BC164" s="24">
        <v>100236.88</v>
      </c>
      <c r="BD164" s="24">
        <v>18615.33</v>
      </c>
      <c r="BE164" s="24">
        <v>45426.09</v>
      </c>
      <c r="BF164" s="24">
        <v>49383.96</v>
      </c>
      <c r="BG164" s="24">
        <v>70520.81</v>
      </c>
      <c r="BH164" s="24">
        <v>41322.04</v>
      </c>
      <c r="BI164" s="24">
        <v>44759.92</v>
      </c>
      <c r="BJ164" s="9">
        <f t="shared" si="52"/>
        <v>749404.08</v>
      </c>
      <c r="BK164" s="9">
        <f t="shared" si="53"/>
        <v>797872.32</v>
      </c>
      <c r="BL164" s="153">
        <f t="shared" si="54"/>
        <v>1547276.4</v>
      </c>
      <c r="BM164" s="154"/>
      <c r="BN164" s="154">
        <f>86000+86000+108000+25430+116900+93560</f>
        <v>515890</v>
      </c>
      <c r="BO164" s="154"/>
      <c r="BP164" s="154"/>
      <c r="BQ164" s="154"/>
      <c r="BR164" s="155">
        <f t="shared" si="67"/>
        <v>2063166.4</v>
      </c>
      <c r="BS164" s="198">
        <v>11357.78</v>
      </c>
      <c r="BT164" s="199">
        <v>8256</v>
      </c>
      <c r="BU164" s="20">
        <f t="shared" si="68"/>
        <v>-1328950.5680000002</v>
      </c>
      <c r="BV164" s="231">
        <v>587997.37</v>
      </c>
      <c r="BW164" s="229"/>
      <c r="BX164" s="230"/>
    </row>
    <row r="165" spans="1:76" ht="15.75">
      <c r="A165" s="1">
        <v>158</v>
      </c>
      <c r="B165" s="1" t="s">
        <v>147</v>
      </c>
      <c r="C165" s="1">
        <v>577.3</v>
      </c>
      <c r="D165" s="1">
        <v>0</v>
      </c>
      <c r="E165" s="1">
        <f aca="true" t="shared" si="70" ref="E165:E173">C165+D165</f>
        <v>577.3</v>
      </c>
      <c r="F165" s="2">
        <v>13.23</v>
      </c>
      <c r="G165" s="2">
        <f t="shared" si="69"/>
        <v>7637.679</v>
      </c>
      <c r="H165" s="2">
        <f t="shared" si="48"/>
        <v>45826.074</v>
      </c>
      <c r="I165" s="2">
        <f t="shared" si="56"/>
        <v>13.23</v>
      </c>
      <c r="J165" s="2">
        <f t="shared" si="57"/>
        <v>7637.679</v>
      </c>
      <c r="K165" s="2">
        <f t="shared" si="49"/>
        <v>45826.074</v>
      </c>
      <c r="L165" s="97">
        <f t="shared" si="50"/>
        <v>91652.148</v>
      </c>
      <c r="M165" s="109">
        <v>3.92</v>
      </c>
      <c r="N165" s="89">
        <f t="shared" si="58"/>
        <v>27156.191999999995</v>
      </c>
      <c r="O165" s="64">
        <v>1.46</v>
      </c>
      <c r="P165" s="90">
        <f t="shared" si="59"/>
        <v>10114.295999999998</v>
      </c>
      <c r="Q165" s="64">
        <v>0.52</v>
      </c>
      <c r="R165" s="90">
        <f t="shared" si="60"/>
        <v>3602.352</v>
      </c>
      <c r="S165" s="64">
        <v>0.89</v>
      </c>
      <c r="T165" s="91">
        <f t="shared" si="61"/>
        <v>6165.5639999999985</v>
      </c>
      <c r="U165" s="64">
        <v>0</v>
      </c>
      <c r="V165" s="90">
        <f t="shared" si="62"/>
        <v>0</v>
      </c>
      <c r="W165" s="96"/>
      <c r="X165" s="91">
        <f t="shared" si="63"/>
        <v>0</v>
      </c>
      <c r="Y165" s="110">
        <f t="shared" si="64"/>
        <v>47038.403999999995</v>
      </c>
      <c r="Z165" s="32"/>
      <c r="AA165" s="12">
        <f t="shared" si="65"/>
        <v>0</v>
      </c>
      <c r="AB165" s="25">
        <f t="shared" si="66"/>
        <v>91652.148</v>
      </c>
      <c r="AC165" s="44"/>
      <c r="AD165" s="8">
        <f t="shared" si="51"/>
        <v>91652.148</v>
      </c>
      <c r="AE165" s="167">
        <v>37270.488</v>
      </c>
      <c r="AF165" s="168">
        <v>0</v>
      </c>
      <c r="AG165" s="168">
        <v>7637.679</v>
      </c>
      <c r="AH165" s="168">
        <v>0</v>
      </c>
      <c r="AI165" s="168">
        <v>91652.148</v>
      </c>
      <c r="AJ165" s="59" t="s">
        <v>296</v>
      </c>
      <c r="AK165" s="58"/>
      <c r="AL165" s="45">
        <v>0</v>
      </c>
      <c r="AM165" s="45">
        <v>2036.03</v>
      </c>
      <c r="AN165" s="2">
        <v>0</v>
      </c>
      <c r="AO165" s="2">
        <v>2036.03</v>
      </c>
      <c r="AP165" s="1">
        <v>0</v>
      </c>
      <c r="AQ165" s="1">
        <v>21070.49</v>
      </c>
      <c r="AR165" s="24">
        <v>0</v>
      </c>
      <c r="AS165" s="24">
        <v>6725.54</v>
      </c>
      <c r="AT165" s="1">
        <v>0</v>
      </c>
      <c r="AU165" s="1">
        <v>2036.03</v>
      </c>
      <c r="AV165" s="24">
        <v>0</v>
      </c>
      <c r="AW165" s="24">
        <v>2036.03</v>
      </c>
      <c r="AX165" s="45">
        <v>0</v>
      </c>
      <c r="AY165" s="45">
        <v>2036.03</v>
      </c>
      <c r="AZ165" s="24">
        <v>0</v>
      </c>
      <c r="BA165" s="24">
        <v>2036.03</v>
      </c>
      <c r="BB165" s="24">
        <v>0</v>
      </c>
      <c r="BC165" s="24">
        <v>3116.03</v>
      </c>
      <c r="BD165" s="24">
        <v>0</v>
      </c>
      <c r="BE165" s="24">
        <v>2036.03</v>
      </c>
      <c r="BF165" s="24">
        <v>0</v>
      </c>
      <c r="BG165" s="24">
        <v>2862.03</v>
      </c>
      <c r="BH165" s="24">
        <v>0</v>
      </c>
      <c r="BI165" s="24">
        <v>2036.03</v>
      </c>
      <c r="BJ165" s="9">
        <f t="shared" si="52"/>
        <v>0</v>
      </c>
      <c r="BK165" s="9">
        <f t="shared" si="53"/>
        <v>50062.329999999994</v>
      </c>
      <c r="BL165" s="153">
        <f t="shared" si="54"/>
        <v>50062.329999999994</v>
      </c>
      <c r="BM165" s="154"/>
      <c r="BN165" s="154">
        <f>18617.11-14974.95</f>
        <v>3642.16</v>
      </c>
      <c r="BO165" s="154">
        <v>449.13</v>
      </c>
      <c r="BP165" s="154"/>
      <c r="BQ165" s="154"/>
      <c r="BR165" s="155">
        <f t="shared" si="67"/>
        <v>54153.61999999999</v>
      </c>
      <c r="BS165" s="154">
        <f>1662.62+1264.29</f>
        <v>2926.91</v>
      </c>
      <c r="BT165" s="199"/>
      <c r="BU165" s="20">
        <f t="shared" si="68"/>
        <v>40425.43800000001</v>
      </c>
      <c r="BV165" s="233">
        <v>179169.92</v>
      </c>
      <c r="BW165" s="229"/>
      <c r="BX165" s="3"/>
    </row>
    <row r="166" spans="1:76" ht="15.75">
      <c r="A166" s="1">
        <v>159</v>
      </c>
      <c r="B166" s="1" t="s">
        <v>148</v>
      </c>
      <c r="C166" s="1">
        <v>394.1</v>
      </c>
      <c r="D166" s="1">
        <v>0</v>
      </c>
      <c r="E166" s="1">
        <f t="shared" si="70"/>
        <v>394.1</v>
      </c>
      <c r="F166" s="2">
        <v>13.23</v>
      </c>
      <c r="G166" s="2">
        <f t="shared" si="69"/>
        <v>5213.943</v>
      </c>
      <c r="H166" s="2">
        <f t="shared" si="48"/>
        <v>31283.658000000003</v>
      </c>
      <c r="I166" s="2">
        <f t="shared" si="56"/>
        <v>13.23</v>
      </c>
      <c r="J166" s="2">
        <f t="shared" si="57"/>
        <v>5213.943</v>
      </c>
      <c r="K166" s="2">
        <f t="shared" si="49"/>
        <v>31283.658000000003</v>
      </c>
      <c r="L166" s="97">
        <f t="shared" si="50"/>
        <v>62567.316000000006</v>
      </c>
      <c r="M166" s="109">
        <v>3.92</v>
      </c>
      <c r="N166" s="89">
        <f t="shared" si="58"/>
        <v>18538.464</v>
      </c>
      <c r="O166" s="64">
        <v>1.46</v>
      </c>
      <c r="P166" s="90">
        <f t="shared" si="59"/>
        <v>6904.632</v>
      </c>
      <c r="Q166" s="64">
        <v>0.52</v>
      </c>
      <c r="R166" s="90">
        <f t="shared" si="60"/>
        <v>2459.184</v>
      </c>
      <c r="S166" s="64">
        <v>0.89</v>
      </c>
      <c r="T166" s="91">
        <f t="shared" si="61"/>
        <v>4208.988</v>
      </c>
      <c r="U166" s="64">
        <v>0</v>
      </c>
      <c r="V166" s="90">
        <f t="shared" si="62"/>
        <v>0</v>
      </c>
      <c r="W166" s="96"/>
      <c r="X166" s="91">
        <f t="shared" si="63"/>
        <v>0</v>
      </c>
      <c r="Y166" s="110">
        <f t="shared" si="64"/>
        <v>32111.268</v>
      </c>
      <c r="Z166" s="32">
        <v>-297524.72</v>
      </c>
      <c r="AA166" s="12">
        <f t="shared" si="65"/>
        <v>-4.755273823796436</v>
      </c>
      <c r="AB166" s="25">
        <f t="shared" si="66"/>
        <v>-234957.40399999998</v>
      </c>
      <c r="AC166" s="44"/>
      <c r="AD166" s="8">
        <f t="shared" si="51"/>
        <v>-234957.40399999998</v>
      </c>
      <c r="AE166" s="167">
        <v>15623.424000000003</v>
      </c>
      <c r="AF166" s="168">
        <v>0</v>
      </c>
      <c r="AG166" s="168">
        <v>1301.9520000000002</v>
      </c>
      <c r="AH166" s="168">
        <v>0</v>
      </c>
      <c r="AI166" s="168">
        <v>15623.424000000003</v>
      </c>
      <c r="AJ166" s="59" t="s">
        <v>296</v>
      </c>
      <c r="AK166" s="26" t="s">
        <v>352</v>
      </c>
      <c r="AL166" s="45">
        <v>0</v>
      </c>
      <c r="AM166" s="45">
        <v>1305.89</v>
      </c>
      <c r="AN166" s="2">
        <v>0</v>
      </c>
      <c r="AO166" s="2">
        <v>1305.89</v>
      </c>
      <c r="AP166" s="1">
        <v>0</v>
      </c>
      <c r="AQ166" s="1">
        <v>2341.69</v>
      </c>
      <c r="AR166" s="24">
        <v>0</v>
      </c>
      <c r="AS166" s="24">
        <v>5244.39</v>
      </c>
      <c r="AT166" s="1">
        <v>0</v>
      </c>
      <c r="AU166" s="1">
        <v>11535.59</v>
      </c>
      <c r="AV166" s="24">
        <v>0</v>
      </c>
      <c r="AW166" s="24">
        <v>1305.89</v>
      </c>
      <c r="AX166" s="45">
        <v>0</v>
      </c>
      <c r="AY166" s="45">
        <v>1305.89</v>
      </c>
      <c r="AZ166" s="24">
        <v>0</v>
      </c>
      <c r="BA166" s="24">
        <v>1305.89</v>
      </c>
      <c r="BB166" s="24">
        <v>0</v>
      </c>
      <c r="BC166" s="24">
        <v>1305.89</v>
      </c>
      <c r="BD166" s="24">
        <v>0</v>
      </c>
      <c r="BE166" s="24">
        <v>1305.89</v>
      </c>
      <c r="BF166" s="24">
        <v>0</v>
      </c>
      <c r="BG166" s="24">
        <v>2841.05</v>
      </c>
      <c r="BH166" s="24">
        <v>0</v>
      </c>
      <c r="BI166" s="24">
        <v>1305.89</v>
      </c>
      <c r="BJ166" s="9">
        <f t="shared" si="52"/>
        <v>0</v>
      </c>
      <c r="BK166" s="9">
        <f t="shared" si="53"/>
        <v>32409.839999999997</v>
      </c>
      <c r="BL166" s="153">
        <f t="shared" si="54"/>
        <v>32409.839999999997</v>
      </c>
      <c r="BM166" s="154"/>
      <c r="BN166" s="154">
        <v>18617.11</v>
      </c>
      <c r="BO166" s="154">
        <v>306.61</v>
      </c>
      <c r="BP166" s="154"/>
      <c r="BQ166" s="154"/>
      <c r="BR166" s="155">
        <f t="shared" si="67"/>
        <v>51333.56</v>
      </c>
      <c r="BS166" s="154">
        <f>1135.01+1150.77</f>
        <v>2285.7799999999997</v>
      </c>
      <c r="BT166" s="199"/>
      <c r="BU166" s="20">
        <f t="shared" si="68"/>
        <v>-284005.18399999995</v>
      </c>
      <c r="BV166" s="231">
        <v>400269.41</v>
      </c>
      <c r="BW166" s="229"/>
      <c r="BX166" s="230"/>
    </row>
    <row r="167" spans="1:76" ht="15.75">
      <c r="A167" s="1">
        <v>160</v>
      </c>
      <c r="B167" s="1" t="s">
        <v>149</v>
      </c>
      <c r="C167" s="1">
        <v>618.5</v>
      </c>
      <c r="D167" s="1">
        <v>0</v>
      </c>
      <c r="E167" s="1">
        <f t="shared" si="70"/>
        <v>618.5</v>
      </c>
      <c r="F167" s="2">
        <v>13.78</v>
      </c>
      <c r="G167" s="2">
        <f t="shared" si="69"/>
        <v>8522.93</v>
      </c>
      <c r="H167" s="2">
        <f t="shared" si="48"/>
        <v>51137.58</v>
      </c>
      <c r="I167" s="2">
        <f t="shared" si="56"/>
        <v>13.78</v>
      </c>
      <c r="J167" s="2">
        <f t="shared" si="57"/>
        <v>8522.93</v>
      </c>
      <c r="K167" s="2">
        <f t="shared" si="49"/>
        <v>51137.58</v>
      </c>
      <c r="L167" s="97">
        <f t="shared" si="50"/>
        <v>102275.16</v>
      </c>
      <c r="M167" s="109">
        <v>3.92</v>
      </c>
      <c r="N167" s="89">
        <f t="shared" si="58"/>
        <v>29094.239999999998</v>
      </c>
      <c r="O167" s="64">
        <v>1.46</v>
      </c>
      <c r="P167" s="90">
        <f t="shared" si="59"/>
        <v>10836.119999999999</v>
      </c>
      <c r="Q167" s="64"/>
      <c r="R167" s="90">
        <f t="shared" si="60"/>
        <v>0</v>
      </c>
      <c r="S167" s="64"/>
      <c r="T167" s="91">
        <f t="shared" si="61"/>
        <v>0</v>
      </c>
      <c r="U167" s="64">
        <v>0</v>
      </c>
      <c r="V167" s="90">
        <f t="shared" si="62"/>
        <v>0</v>
      </c>
      <c r="W167" s="96"/>
      <c r="X167" s="91">
        <f t="shared" si="63"/>
        <v>0</v>
      </c>
      <c r="Y167" s="110">
        <f t="shared" si="64"/>
        <v>39930.36</v>
      </c>
      <c r="Z167" s="32">
        <v>-9121.12</v>
      </c>
      <c r="AA167" s="12">
        <f t="shared" si="65"/>
        <v>-0.08918216309805822</v>
      </c>
      <c r="AB167" s="25">
        <f t="shared" si="66"/>
        <v>93154.04000000001</v>
      </c>
      <c r="AC167" s="44"/>
      <c r="AD167" s="8">
        <f t="shared" si="51"/>
        <v>93154.04000000001</v>
      </c>
      <c r="AE167" s="167">
        <v>22947.840000000004</v>
      </c>
      <c r="AF167" s="168">
        <v>4167.490656911307</v>
      </c>
      <c r="AG167" s="168">
        <v>3595.34600975536</v>
      </c>
      <c r="AH167" s="168">
        <v>50009.88788293568</v>
      </c>
      <c r="AI167" s="168">
        <v>43144.15211706432</v>
      </c>
      <c r="AJ167" s="58" t="s">
        <v>296</v>
      </c>
      <c r="AK167" s="26"/>
      <c r="AL167" s="45">
        <v>15005.36</v>
      </c>
      <c r="AM167" s="45">
        <v>4154.76</v>
      </c>
      <c r="AN167" s="2">
        <v>4213.2</v>
      </c>
      <c r="AO167" s="2">
        <v>4207.84</v>
      </c>
      <c r="AP167" s="1">
        <v>65498.79</v>
      </c>
      <c r="AQ167" s="1">
        <v>9811.51</v>
      </c>
      <c r="AR167" s="24">
        <v>0</v>
      </c>
      <c r="AS167" s="24">
        <v>2617.01</v>
      </c>
      <c r="AT167" s="1">
        <v>0</v>
      </c>
      <c r="AU167" s="1">
        <v>1918.51</v>
      </c>
      <c r="AV167" s="24">
        <v>1872.5</v>
      </c>
      <c r="AW167" s="24">
        <v>1918.51</v>
      </c>
      <c r="AX167" s="45">
        <v>45294.51</v>
      </c>
      <c r="AY167" s="45">
        <v>2606.9</v>
      </c>
      <c r="AZ167" s="24">
        <v>7585.31</v>
      </c>
      <c r="BA167" s="24">
        <v>1918.51</v>
      </c>
      <c r="BB167" s="24">
        <v>0</v>
      </c>
      <c r="BC167" s="24">
        <v>7719.28</v>
      </c>
      <c r="BD167" s="24">
        <v>6754.66</v>
      </c>
      <c r="BE167" s="24">
        <v>6890.15</v>
      </c>
      <c r="BF167" s="24">
        <v>2005.18</v>
      </c>
      <c r="BG167" s="24">
        <v>3426.51</v>
      </c>
      <c r="BH167" s="24">
        <v>0</v>
      </c>
      <c r="BI167" s="24">
        <v>1918.51</v>
      </c>
      <c r="BJ167" s="9">
        <f t="shared" si="52"/>
        <v>148229.51</v>
      </c>
      <c r="BK167" s="9">
        <f t="shared" si="53"/>
        <v>49108.00000000001</v>
      </c>
      <c r="BL167" s="153">
        <f t="shared" si="54"/>
        <v>197337.51</v>
      </c>
      <c r="BM167" s="154"/>
      <c r="BN167" s="154"/>
      <c r="BO167" s="154"/>
      <c r="BP167" s="154"/>
      <c r="BQ167" s="154"/>
      <c r="BR167" s="155">
        <f t="shared" si="67"/>
        <v>197337.51</v>
      </c>
      <c r="BS167" s="198">
        <v>451.51</v>
      </c>
      <c r="BT167" s="199"/>
      <c r="BU167" s="20">
        <f t="shared" si="68"/>
        <v>-103731.96</v>
      </c>
      <c r="BV167" s="231">
        <v>40260.39</v>
      </c>
      <c r="BW167" s="229"/>
      <c r="BX167" s="230"/>
    </row>
    <row r="168" spans="1:76" ht="15.75">
      <c r="A168" s="1">
        <v>161</v>
      </c>
      <c r="B168" s="1" t="s">
        <v>150</v>
      </c>
      <c r="C168" s="1">
        <v>595.9</v>
      </c>
      <c r="D168" s="1">
        <v>0</v>
      </c>
      <c r="E168" s="1">
        <f t="shared" si="70"/>
        <v>595.9</v>
      </c>
      <c r="F168" s="2">
        <v>13.23</v>
      </c>
      <c r="G168" s="2">
        <f t="shared" si="69"/>
        <v>7883.757</v>
      </c>
      <c r="H168" s="2">
        <f t="shared" si="48"/>
        <v>47302.542</v>
      </c>
      <c r="I168" s="2">
        <f t="shared" si="56"/>
        <v>13.23</v>
      </c>
      <c r="J168" s="2">
        <f t="shared" si="57"/>
        <v>7883.757</v>
      </c>
      <c r="K168" s="2">
        <f t="shared" si="49"/>
        <v>47302.542</v>
      </c>
      <c r="L168" s="97">
        <f t="shared" si="50"/>
        <v>94605.084</v>
      </c>
      <c r="M168" s="109">
        <v>3.92</v>
      </c>
      <c r="N168" s="89">
        <f t="shared" si="58"/>
        <v>28031.136</v>
      </c>
      <c r="O168" s="64">
        <v>1.46</v>
      </c>
      <c r="P168" s="90">
        <f t="shared" si="59"/>
        <v>10440.167999999998</v>
      </c>
      <c r="Q168" s="64">
        <v>0.52</v>
      </c>
      <c r="R168" s="90">
        <f t="shared" si="60"/>
        <v>3718.416</v>
      </c>
      <c r="S168" s="64">
        <v>0.89</v>
      </c>
      <c r="T168" s="91">
        <f t="shared" si="61"/>
        <v>6364.2119999999995</v>
      </c>
      <c r="U168" s="64">
        <v>0.58</v>
      </c>
      <c r="V168" s="90">
        <f t="shared" si="62"/>
        <v>4147.464</v>
      </c>
      <c r="W168" s="96"/>
      <c r="X168" s="91">
        <f t="shared" si="63"/>
        <v>0</v>
      </c>
      <c r="Y168" s="110">
        <f t="shared" si="64"/>
        <v>52701.39599999999</v>
      </c>
      <c r="Z168" s="32">
        <v>-94313.95</v>
      </c>
      <c r="AA168" s="12">
        <f t="shared" si="65"/>
        <v>-0.996922638956697</v>
      </c>
      <c r="AB168" s="25">
        <f t="shared" si="66"/>
        <v>291.13400000000547</v>
      </c>
      <c r="AC168" s="44"/>
      <c r="AD168" s="8">
        <f t="shared" si="51"/>
        <v>291.13400000000547</v>
      </c>
      <c r="AE168" s="167">
        <v>24970.176</v>
      </c>
      <c r="AF168" s="168">
        <v>0</v>
      </c>
      <c r="AG168" s="168">
        <v>24.261166666667123</v>
      </c>
      <c r="AH168" s="168">
        <v>0</v>
      </c>
      <c r="AI168" s="168">
        <v>291.13400000000547</v>
      </c>
      <c r="AJ168" s="59" t="s">
        <v>296</v>
      </c>
      <c r="AK168" s="58"/>
      <c r="AL168" s="45">
        <v>0</v>
      </c>
      <c r="AM168" s="45">
        <v>2086.81</v>
      </c>
      <c r="AN168" s="2">
        <v>0</v>
      </c>
      <c r="AO168" s="2">
        <v>2086.81</v>
      </c>
      <c r="AP168" s="1">
        <v>0</v>
      </c>
      <c r="AQ168" s="1">
        <v>13667.53</v>
      </c>
      <c r="AR168" s="24">
        <v>0</v>
      </c>
      <c r="AS168" s="24">
        <v>7541.93</v>
      </c>
      <c r="AT168" s="1">
        <v>0</v>
      </c>
      <c r="AU168" s="1">
        <v>7097.86</v>
      </c>
      <c r="AV168" s="24">
        <v>0</v>
      </c>
      <c r="AW168" s="24">
        <v>2086.81</v>
      </c>
      <c r="AX168" s="45">
        <v>0</v>
      </c>
      <c r="AY168" s="45">
        <v>2086.81</v>
      </c>
      <c r="AZ168" s="24">
        <v>0</v>
      </c>
      <c r="BA168" s="24">
        <v>2086.81</v>
      </c>
      <c r="BB168" s="24">
        <v>0</v>
      </c>
      <c r="BC168" s="24">
        <v>83384.97</v>
      </c>
      <c r="BD168" s="24">
        <v>0</v>
      </c>
      <c r="BE168" s="24">
        <v>46572.01</v>
      </c>
      <c r="BF168" s="24">
        <v>0</v>
      </c>
      <c r="BG168" s="24">
        <v>4891.55</v>
      </c>
      <c r="BH168" s="24">
        <v>0</v>
      </c>
      <c r="BI168" s="24">
        <v>2086.81</v>
      </c>
      <c r="BJ168" s="9">
        <f t="shared" si="52"/>
        <v>0</v>
      </c>
      <c r="BK168" s="9">
        <f t="shared" si="53"/>
        <v>175676.71</v>
      </c>
      <c r="BL168" s="153">
        <f t="shared" si="54"/>
        <v>175676.71</v>
      </c>
      <c r="BM168" s="154"/>
      <c r="BN168" s="154">
        <f>(18617.11-5935.46)</f>
        <v>12681.650000000001</v>
      </c>
      <c r="BO168" s="154">
        <v>463.6</v>
      </c>
      <c r="BP168" s="154"/>
      <c r="BQ168" s="154"/>
      <c r="BR168" s="155">
        <f t="shared" si="67"/>
        <v>188821.96</v>
      </c>
      <c r="BS168" s="154">
        <f>1716.19+1307.21</f>
        <v>3023.4</v>
      </c>
      <c r="BT168" s="199">
        <v>4128</v>
      </c>
      <c r="BU168" s="20">
        <f t="shared" si="68"/>
        <v>-185507.426</v>
      </c>
      <c r="BV168" s="233">
        <v>147668.86</v>
      </c>
      <c r="BW168" s="229"/>
      <c r="BX168" s="3"/>
    </row>
    <row r="169" spans="1:111" s="17" customFormat="1" ht="15.75">
      <c r="A169" s="1">
        <v>162</v>
      </c>
      <c r="B169" s="1" t="s">
        <v>151</v>
      </c>
      <c r="C169" s="1">
        <v>388.5</v>
      </c>
      <c r="D169" s="1">
        <v>0</v>
      </c>
      <c r="E169" s="1">
        <f t="shared" si="70"/>
        <v>388.5</v>
      </c>
      <c r="F169" s="2">
        <v>13.01</v>
      </c>
      <c r="G169" s="2">
        <f t="shared" si="69"/>
        <v>5054.385</v>
      </c>
      <c r="H169" s="2">
        <f t="shared" si="48"/>
        <v>30326.31</v>
      </c>
      <c r="I169" s="2">
        <f t="shared" si="56"/>
        <v>13.01</v>
      </c>
      <c r="J169" s="2">
        <f t="shared" si="57"/>
        <v>5054.385</v>
      </c>
      <c r="K169" s="2">
        <f t="shared" si="49"/>
        <v>30326.31</v>
      </c>
      <c r="L169" s="97">
        <f t="shared" si="50"/>
        <v>60652.62</v>
      </c>
      <c r="M169" s="109">
        <v>3.92</v>
      </c>
      <c r="N169" s="89">
        <f t="shared" si="58"/>
        <v>18275.04</v>
      </c>
      <c r="O169" s="64">
        <v>1.46</v>
      </c>
      <c r="P169" s="90">
        <f t="shared" si="59"/>
        <v>6806.52</v>
      </c>
      <c r="Q169" s="64"/>
      <c r="R169" s="90">
        <f t="shared" si="60"/>
        <v>0</v>
      </c>
      <c r="S169" s="64"/>
      <c r="T169" s="91">
        <f t="shared" si="61"/>
        <v>0</v>
      </c>
      <c r="U169" s="64">
        <v>0</v>
      </c>
      <c r="V169" s="90">
        <f t="shared" si="62"/>
        <v>0</v>
      </c>
      <c r="W169" s="96"/>
      <c r="X169" s="91">
        <f t="shared" si="63"/>
        <v>0</v>
      </c>
      <c r="Y169" s="110">
        <f t="shared" si="64"/>
        <v>25081.56</v>
      </c>
      <c r="Z169" s="32">
        <v>-536567.07</v>
      </c>
      <c r="AA169" s="12">
        <f t="shared" si="65"/>
        <v>-8.846560461856386</v>
      </c>
      <c r="AB169" s="25">
        <f t="shared" si="66"/>
        <v>-475914.44999999995</v>
      </c>
      <c r="AC169" s="44"/>
      <c r="AD169" s="8">
        <f t="shared" si="51"/>
        <v>-475914.44999999995</v>
      </c>
      <c r="AE169" s="167">
        <v>12680.64</v>
      </c>
      <c r="AF169" s="168">
        <v>0</v>
      </c>
      <c r="AG169" s="168">
        <v>1056.72</v>
      </c>
      <c r="AH169" s="168">
        <v>0</v>
      </c>
      <c r="AI169" s="168">
        <v>12680.64</v>
      </c>
      <c r="AJ169" s="59" t="s">
        <v>296</v>
      </c>
      <c r="AK169" s="26" t="s">
        <v>352</v>
      </c>
      <c r="AL169" s="45">
        <v>0</v>
      </c>
      <c r="AM169" s="45">
        <v>1060.61</v>
      </c>
      <c r="AN169" s="2">
        <v>0</v>
      </c>
      <c r="AO169" s="2">
        <v>1060.61</v>
      </c>
      <c r="AP169" s="1">
        <v>0</v>
      </c>
      <c r="AQ169" s="1">
        <v>2096.41</v>
      </c>
      <c r="AR169" s="24">
        <v>0</v>
      </c>
      <c r="AS169" s="24">
        <v>2839.11</v>
      </c>
      <c r="AT169" s="1">
        <v>0</v>
      </c>
      <c r="AU169" s="1">
        <v>2140.61</v>
      </c>
      <c r="AV169" s="24">
        <v>0</v>
      </c>
      <c r="AW169" s="24">
        <v>1060.61</v>
      </c>
      <c r="AX169" s="45">
        <v>0</v>
      </c>
      <c r="AY169" s="45">
        <v>1060.61</v>
      </c>
      <c r="AZ169" s="24">
        <v>0</v>
      </c>
      <c r="BA169" s="24">
        <v>1060.61</v>
      </c>
      <c r="BB169" s="24">
        <v>0</v>
      </c>
      <c r="BC169" s="24">
        <v>1219.43</v>
      </c>
      <c r="BD169" s="24">
        <v>0</v>
      </c>
      <c r="BE169" s="24">
        <v>2140.61</v>
      </c>
      <c r="BF169" s="24">
        <v>0</v>
      </c>
      <c r="BG169" s="24">
        <v>2595.77</v>
      </c>
      <c r="BH169" s="24">
        <v>0</v>
      </c>
      <c r="BI169" s="24">
        <v>3476.13</v>
      </c>
      <c r="BJ169" s="9">
        <f t="shared" si="52"/>
        <v>0</v>
      </c>
      <c r="BK169" s="9">
        <f t="shared" si="53"/>
        <v>21811.120000000003</v>
      </c>
      <c r="BL169" s="153">
        <f t="shared" si="54"/>
        <v>21811.120000000003</v>
      </c>
      <c r="BM169" s="154"/>
      <c r="BN169" s="154"/>
      <c r="BO169" s="154"/>
      <c r="BP169" s="154"/>
      <c r="BQ169" s="154"/>
      <c r="BR169" s="155">
        <f t="shared" si="67"/>
        <v>21811.120000000003</v>
      </c>
      <c r="BS169" s="154">
        <f>1118.88+1134.13</f>
        <v>2253.01</v>
      </c>
      <c r="BT169" s="199"/>
      <c r="BU169" s="20">
        <f t="shared" si="68"/>
        <v>-495472.55999999994</v>
      </c>
      <c r="BV169" s="231">
        <v>381790.73</v>
      </c>
      <c r="BW169" s="229"/>
      <c r="BX169" s="230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</row>
    <row r="170" spans="1:76" ht="15.75">
      <c r="A170" s="1">
        <v>163</v>
      </c>
      <c r="B170" s="1" t="s">
        <v>152</v>
      </c>
      <c r="C170" s="1">
        <v>589.9</v>
      </c>
      <c r="D170" s="1">
        <v>0</v>
      </c>
      <c r="E170" s="1">
        <f t="shared" si="70"/>
        <v>589.9</v>
      </c>
      <c r="F170" s="2">
        <v>13.01</v>
      </c>
      <c r="G170" s="2">
        <f t="shared" si="69"/>
        <v>7674.598999999999</v>
      </c>
      <c r="H170" s="2">
        <f t="shared" si="48"/>
        <v>46047.594</v>
      </c>
      <c r="I170" s="2">
        <f t="shared" si="56"/>
        <v>13.01</v>
      </c>
      <c r="J170" s="2">
        <f t="shared" si="57"/>
        <v>7674.598999999999</v>
      </c>
      <c r="K170" s="2">
        <f t="shared" si="49"/>
        <v>46047.594</v>
      </c>
      <c r="L170" s="97">
        <f t="shared" si="50"/>
        <v>92095.188</v>
      </c>
      <c r="M170" s="109">
        <v>3.92</v>
      </c>
      <c r="N170" s="89">
        <f t="shared" si="58"/>
        <v>27748.896</v>
      </c>
      <c r="O170" s="64">
        <v>1.46</v>
      </c>
      <c r="P170" s="90">
        <f t="shared" si="59"/>
        <v>10335.047999999999</v>
      </c>
      <c r="Q170" s="64"/>
      <c r="R170" s="90">
        <f t="shared" si="60"/>
        <v>0</v>
      </c>
      <c r="S170" s="64"/>
      <c r="T170" s="91">
        <f t="shared" si="61"/>
        <v>0</v>
      </c>
      <c r="U170" s="64">
        <v>0</v>
      </c>
      <c r="V170" s="90">
        <f t="shared" si="62"/>
        <v>0</v>
      </c>
      <c r="W170" s="96"/>
      <c r="X170" s="91">
        <f t="shared" si="63"/>
        <v>0</v>
      </c>
      <c r="Y170" s="110">
        <f t="shared" si="64"/>
        <v>38083.944</v>
      </c>
      <c r="Z170" s="32">
        <v>-275675.49</v>
      </c>
      <c r="AA170" s="12">
        <f t="shared" si="65"/>
        <v>-2.993375614804109</v>
      </c>
      <c r="AB170" s="25">
        <f t="shared" si="66"/>
        <v>-183580.302</v>
      </c>
      <c r="AC170" s="44"/>
      <c r="AD170" s="8">
        <f t="shared" si="51"/>
        <v>-183580.302</v>
      </c>
      <c r="AE170" s="167">
        <v>19254.336</v>
      </c>
      <c r="AF170" s="168">
        <v>0</v>
      </c>
      <c r="AG170" s="168">
        <v>1604.528</v>
      </c>
      <c r="AH170" s="168">
        <v>0</v>
      </c>
      <c r="AI170" s="168">
        <v>19254.336</v>
      </c>
      <c r="AJ170" s="59" t="s">
        <v>296</v>
      </c>
      <c r="AK170" s="26" t="s">
        <v>352</v>
      </c>
      <c r="AL170" s="45">
        <v>0</v>
      </c>
      <c r="AM170" s="45">
        <v>1610.43</v>
      </c>
      <c r="AN170" s="2">
        <v>0</v>
      </c>
      <c r="AO170" s="2">
        <v>1610.43</v>
      </c>
      <c r="AP170" s="1">
        <v>0</v>
      </c>
      <c r="AQ170" s="1">
        <v>13191.15</v>
      </c>
      <c r="AR170" s="24">
        <v>0</v>
      </c>
      <c r="AS170" s="24">
        <v>5601.02</v>
      </c>
      <c r="AT170" s="1">
        <v>0</v>
      </c>
      <c r="AU170" s="1">
        <v>1610.43</v>
      </c>
      <c r="AV170" s="24">
        <v>0</v>
      </c>
      <c r="AW170" s="24">
        <v>11783.89</v>
      </c>
      <c r="AX170" s="45">
        <v>0</v>
      </c>
      <c r="AY170" s="45">
        <v>6863.15</v>
      </c>
      <c r="AZ170" s="24">
        <v>0</v>
      </c>
      <c r="BA170" s="24">
        <v>6630.29</v>
      </c>
      <c r="BB170" s="24">
        <v>0</v>
      </c>
      <c r="BC170" s="24">
        <v>9683.13</v>
      </c>
      <c r="BD170" s="24">
        <v>0</v>
      </c>
      <c r="BE170" s="24">
        <v>2481.05</v>
      </c>
      <c r="BF170" s="24">
        <v>0</v>
      </c>
      <c r="BG170" s="24">
        <v>2436.43</v>
      </c>
      <c r="BH170" s="24">
        <v>0</v>
      </c>
      <c r="BI170" s="24">
        <v>1610.43</v>
      </c>
      <c r="BJ170" s="9">
        <f t="shared" si="52"/>
        <v>0</v>
      </c>
      <c r="BK170" s="9">
        <f t="shared" si="53"/>
        <v>65111.83</v>
      </c>
      <c r="BL170" s="153">
        <f t="shared" si="54"/>
        <v>65111.83</v>
      </c>
      <c r="BM170" s="154"/>
      <c r="BN170" s="154"/>
      <c r="BO170" s="154"/>
      <c r="BP170" s="154"/>
      <c r="BQ170" s="154"/>
      <c r="BR170" s="155">
        <f t="shared" si="67"/>
        <v>65111.83</v>
      </c>
      <c r="BS170" s="154">
        <f>1698.91+1282.9</f>
        <v>2981.8100000000004</v>
      </c>
      <c r="BT170" s="199"/>
      <c r="BU170" s="20">
        <f t="shared" si="68"/>
        <v>-245710.322</v>
      </c>
      <c r="BV170" s="231">
        <v>353497.32</v>
      </c>
      <c r="BW170" s="229"/>
      <c r="BX170" s="230"/>
    </row>
    <row r="171" spans="1:76" ht="15.75">
      <c r="A171" s="1">
        <v>164</v>
      </c>
      <c r="B171" s="1" t="s">
        <v>153</v>
      </c>
      <c r="C171" s="1">
        <v>397.5</v>
      </c>
      <c r="D171" s="1">
        <v>0</v>
      </c>
      <c r="E171" s="1">
        <f t="shared" si="70"/>
        <v>397.5</v>
      </c>
      <c r="F171" s="2">
        <v>13.23</v>
      </c>
      <c r="G171" s="2">
        <f t="shared" si="69"/>
        <v>5258.925</v>
      </c>
      <c r="H171" s="2">
        <f aca="true" t="shared" si="71" ref="H171:H229">G171*6</f>
        <v>31553.550000000003</v>
      </c>
      <c r="I171" s="2">
        <f t="shared" si="56"/>
        <v>13.23</v>
      </c>
      <c r="J171" s="2">
        <f t="shared" si="57"/>
        <v>5258.925</v>
      </c>
      <c r="K171" s="2">
        <f aca="true" t="shared" si="72" ref="K171:K228">J171*6</f>
        <v>31553.550000000003</v>
      </c>
      <c r="L171" s="97">
        <f t="shared" si="50"/>
        <v>63107.100000000006</v>
      </c>
      <c r="M171" s="109">
        <v>3.92</v>
      </c>
      <c r="N171" s="89">
        <f t="shared" si="58"/>
        <v>18698.4</v>
      </c>
      <c r="O171" s="64">
        <v>1.46</v>
      </c>
      <c r="P171" s="90">
        <f t="shared" si="59"/>
        <v>6964.200000000001</v>
      </c>
      <c r="Q171" s="64">
        <v>0.52</v>
      </c>
      <c r="R171" s="90">
        <f t="shared" si="60"/>
        <v>2480.4</v>
      </c>
      <c r="S171" s="64">
        <v>0.89</v>
      </c>
      <c r="T171" s="91">
        <f t="shared" si="61"/>
        <v>4245.299999999999</v>
      </c>
      <c r="U171" s="64">
        <v>0</v>
      </c>
      <c r="V171" s="90">
        <f t="shared" si="62"/>
        <v>0</v>
      </c>
      <c r="W171" s="96"/>
      <c r="X171" s="91">
        <f t="shared" si="63"/>
        <v>0</v>
      </c>
      <c r="Y171" s="110">
        <f t="shared" si="64"/>
        <v>32388.300000000003</v>
      </c>
      <c r="Z171" s="32">
        <v>-183713.75</v>
      </c>
      <c r="AA171" s="12">
        <f t="shared" si="65"/>
        <v>-2.911142327883867</v>
      </c>
      <c r="AB171" s="25">
        <f t="shared" si="66"/>
        <v>-120606.65</v>
      </c>
      <c r="AC171" s="44"/>
      <c r="AD171" s="8">
        <f aca="true" t="shared" si="73" ref="AD171:AD229">AB171-AC171</f>
        <v>-120606.65</v>
      </c>
      <c r="AE171" s="167">
        <v>12974.400000000001</v>
      </c>
      <c r="AF171" s="168">
        <v>0</v>
      </c>
      <c r="AG171" s="168">
        <v>1081.2</v>
      </c>
      <c r="AH171" s="168">
        <v>0</v>
      </c>
      <c r="AI171" s="168">
        <v>12974.400000000001</v>
      </c>
      <c r="AJ171" s="59" t="s">
        <v>296</v>
      </c>
      <c r="AK171" s="26" t="s">
        <v>352</v>
      </c>
      <c r="AL171" s="45">
        <v>0</v>
      </c>
      <c r="AM171" s="45">
        <v>15727.49</v>
      </c>
      <c r="AN171" s="2">
        <v>0</v>
      </c>
      <c r="AO171" s="2">
        <v>1085.18</v>
      </c>
      <c r="AP171" s="1">
        <v>0</v>
      </c>
      <c r="AQ171" s="1">
        <v>2120.98</v>
      </c>
      <c r="AR171" s="24">
        <v>0</v>
      </c>
      <c r="AS171" s="24">
        <v>7183.68</v>
      </c>
      <c r="AT171" s="1">
        <v>0</v>
      </c>
      <c r="AU171" s="1">
        <v>3618.89</v>
      </c>
      <c r="AV171" s="24">
        <v>0</v>
      </c>
      <c r="AW171" s="24">
        <v>1085.18</v>
      </c>
      <c r="AX171" s="45">
        <v>0</v>
      </c>
      <c r="AY171" s="45">
        <v>4042</v>
      </c>
      <c r="AZ171" s="24">
        <v>0</v>
      </c>
      <c r="BA171" s="24">
        <v>1085.18</v>
      </c>
      <c r="BB171" s="24">
        <v>0</v>
      </c>
      <c r="BC171" s="24">
        <v>1085.18</v>
      </c>
      <c r="BD171" s="24">
        <v>0</v>
      </c>
      <c r="BE171" s="24">
        <v>2165.18</v>
      </c>
      <c r="BF171" s="24">
        <v>0</v>
      </c>
      <c r="BG171" s="24">
        <v>2620.34</v>
      </c>
      <c r="BH171" s="24">
        <v>0</v>
      </c>
      <c r="BI171" s="24">
        <v>4067.76</v>
      </c>
      <c r="BJ171" s="9">
        <f aca="true" t="shared" si="74" ref="BJ171:BJ229">AL171+AN171+AP171+AR171+AT171+AV171+AX171+AZ171+BB171+BD171+BF171+BH171</f>
        <v>0</v>
      </c>
      <c r="BK171" s="9">
        <f aca="true" t="shared" si="75" ref="BK171:BK229">AM171+AO171+AQ171+AS171+AU171+AW171+AY171+BA171+BC171+BE171+BG171+BI171</f>
        <v>45887.04</v>
      </c>
      <c r="BL171" s="153">
        <f aca="true" t="shared" si="76" ref="BL171:BL229">BJ171+BK171</f>
        <v>45887.04</v>
      </c>
      <c r="BM171" s="154"/>
      <c r="BN171" s="154">
        <f>2503.4+12882.65+15421.96</f>
        <v>30808.01</v>
      </c>
      <c r="BO171" s="154">
        <v>309.25</v>
      </c>
      <c r="BP171" s="154"/>
      <c r="BQ171" s="154"/>
      <c r="BR171" s="155">
        <f t="shared" si="67"/>
        <v>77004.3</v>
      </c>
      <c r="BS171" s="154">
        <f>1144.8+1160.7</f>
        <v>2305.5</v>
      </c>
      <c r="BT171" s="199"/>
      <c r="BU171" s="20">
        <f t="shared" si="68"/>
        <v>-195305.45</v>
      </c>
      <c r="BV171" s="231">
        <v>107925.69</v>
      </c>
      <c r="BW171" s="229"/>
      <c r="BX171" s="230"/>
    </row>
    <row r="172" spans="1:76" ht="15.75">
      <c r="A172" s="1">
        <v>165</v>
      </c>
      <c r="B172" s="1" t="s">
        <v>154</v>
      </c>
      <c r="C172" s="1">
        <v>353.3</v>
      </c>
      <c r="D172" s="1">
        <v>0</v>
      </c>
      <c r="E172" s="1">
        <f t="shared" si="70"/>
        <v>353.3</v>
      </c>
      <c r="F172" s="2">
        <v>8.94</v>
      </c>
      <c r="G172" s="2">
        <f t="shared" si="69"/>
        <v>3158.502</v>
      </c>
      <c r="H172" s="2">
        <f t="shared" si="71"/>
        <v>18951.012</v>
      </c>
      <c r="I172" s="2">
        <f t="shared" si="56"/>
        <v>8.94</v>
      </c>
      <c r="J172" s="2">
        <f t="shared" si="57"/>
        <v>3158.502</v>
      </c>
      <c r="K172" s="2">
        <f t="shared" si="72"/>
        <v>18951.012</v>
      </c>
      <c r="L172" s="97">
        <f aca="true" t="shared" si="77" ref="L172:L230">H172+K172</f>
        <v>37902.024</v>
      </c>
      <c r="M172" s="109">
        <v>3.92</v>
      </c>
      <c r="N172" s="89">
        <f t="shared" si="58"/>
        <v>16619.232</v>
      </c>
      <c r="O172" s="64">
        <v>1.46</v>
      </c>
      <c r="P172" s="90">
        <f t="shared" si="59"/>
        <v>6189.816</v>
      </c>
      <c r="Q172" s="64"/>
      <c r="R172" s="90">
        <f t="shared" si="60"/>
        <v>0</v>
      </c>
      <c r="S172" s="64"/>
      <c r="T172" s="91">
        <f t="shared" si="61"/>
        <v>0</v>
      </c>
      <c r="U172" s="64">
        <v>0</v>
      </c>
      <c r="V172" s="90">
        <f t="shared" si="62"/>
        <v>0</v>
      </c>
      <c r="W172" s="96"/>
      <c r="X172" s="91">
        <f t="shared" si="63"/>
        <v>0</v>
      </c>
      <c r="Y172" s="110">
        <f t="shared" si="64"/>
        <v>22809.048</v>
      </c>
      <c r="Z172" s="32"/>
      <c r="AA172" s="12">
        <f t="shared" si="65"/>
        <v>0</v>
      </c>
      <c r="AB172" s="25">
        <f t="shared" si="66"/>
        <v>37902.024</v>
      </c>
      <c r="AC172" s="44"/>
      <c r="AD172" s="8">
        <f t="shared" si="73"/>
        <v>37902.024</v>
      </c>
      <c r="AE172" s="167">
        <v>14291.712000000001</v>
      </c>
      <c r="AF172" s="168">
        <v>0</v>
      </c>
      <c r="AG172" s="168">
        <v>3158.502</v>
      </c>
      <c r="AH172" s="168">
        <v>0</v>
      </c>
      <c r="AI172" s="168">
        <v>37902.024</v>
      </c>
      <c r="AJ172" s="59" t="s">
        <v>299</v>
      </c>
      <c r="AK172" s="59"/>
      <c r="AL172" s="45">
        <v>0</v>
      </c>
      <c r="AM172" s="45">
        <v>1194.51</v>
      </c>
      <c r="AN172" s="2">
        <v>0</v>
      </c>
      <c r="AO172" s="2">
        <v>40580.9</v>
      </c>
      <c r="AP172" s="1">
        <v>0</v>
      </c>
      <c r="AQ172" s="1">
        <v>11575</v>
      </c>
      <c r="AR172" s="24">
        <v>0</v>
      </c>
      <c r="AS172" s="24">
        <v>1893.01</v>
      </c>
      <c r="AT172" s="1">
        <v>0</v>
      </c>
      <c r="AU172" s="1">
        <v>10300.51</v>
      </c>
      <c r="AV172" s="24">
        <v>0</v>
      </c>
      <c r="AW172" s="24">
        <v>1194.51</v>
      </c>
      <c r="AX172" s="45">
        <v>0</v>
      </c>
      <c r="AY172" s="45">
        <v>1194.51</v>
      </c>
      <c r="AZ172" s="24">
        <v>0</v>
      </c>
      <c r="BA172" s="24">
        <v>1194.51</v>
      </c>
      <c r="BB172" s="24">
        <v>0</v>
      </c>
      <c r="BC172" s="24">
        <v>1194.51</v>
      </c>
      <c r="BD172" s="24">
        <v>0</v>
      </c>
      <c r="BE172" s="24">
        <v>1194.51</v>
      </c>
      <c r="BF172" s="24">
        <v>0</v>
      </c>
      <c r="BG172" s="24">
        <v>2020.51</v>
      </c>
      <c r="BH172" s="24">
        <v>0</v>
      </c>
      <c r="BI172" s="24">
        <v>1194.51</v>
      </c>
      <c r="BJ172" s="9">
        <f t="shared" si="74"/>
        <v>0</v>
      </c>
      <c r="BK172" s="9">
        <f t="shared" si="75"/>
        <v>74731.49999999997</v>
      </c>
      <c r="BL172" s="153">
        <f t="shared" si="76"/>
        <v>74731.49999999997</v>
      </c>
      <c r="BM172" s="154"/>
      <c r="BN172" s="154"/>
      <c r="BO172" s="154"/>
      <c r="BP172" s="154"/>
      <c r="BQ172" s="154"/>
      <c r="BR172" s="155">
        <f t="shared" si="67"/>
        <v>74731.49999999997</v>
      </c>
      <c r="BS172" s="154">
        <f>1017.5+1031.64</f>
        <v>2049.1400000000003</v>
      </c>
      <c r="BT172" s="199"/>
      <c r="BU172" s="20">
        <f t="shared" si="68"/>
        <v>-34780.335999999974</v>
      </c>
      <c r="BV172" s="231">
        <v>31058.39</v>
      </c>
      <c r="BW172" s="229"/>
      <c r="BX172" s="230"/>
    </row>
    <row r="173" spans="1:76" ht="15.75">
      <c r="A173" s="1">
        <v>166</v>
      </c>
      <c r="B173" s="1" t="s">
        <v>285</v>
      </c>
      <c r="C173" s="1">
        <v>2913.2</v>
      </c>
      <c r="D173" s="1">
        <v>0</v>
      </c>
      <c r="E173" s="1">
        <f t="shared" si="70"/>
        <v>2913.2</v>
      </c>
      <c r="F173" s="2">
        <v>14.68</v>
      </c>
      <c r="G173" s="2">
        <f t="shared" si="69"/>
        <v>42765.776</v>
      </c>
      <c r="H173" s="2">
        <f t="shared" si="71"/>
        <v>256594.656</v>
      </c>
      <c r="I173" s="2">
        <f t="shared" si="56"/>
        <v>14.68</v>
      </c>
      <c r="J173" s="2">
        <f t="shared" si="57"/>
        <v>42765.776</v>
      </c>
      <c r="K173" s="2">
        <f t="shared" si="72"/>
        <v>256594.656</v>
      </c>
      <c r="L173" s="97">
        <f t="shared" si="77"/>
        <v>513189.312</v>
      </c>
      <c r="M173" s="109">
        <v>3.92</v>
      </c>
      <c r="N173" s="89">
        <f t="shared" si="58"/>
        <v>137036.92799999999</v>
      </c>
      <c r="O173" s="64">
        <v>1.46</v>
      </c>
      <c r="P173" s="90">
        <f t="shared" si="59"/>
        <v>51039.263999999996</v>
      </c>
      <c r="Q173" s="64">
        <v>0.52</v>
      </c>
      <c r="R173" s="90">
        <f t="shared" si="60"/>
        <v>18178.368000000002</v>
      </c>
      <c r="S173" s="64">
        <v>0.89</v>
      </c>
      <c r="T173" s="91">
        <f t="shared" si="61"/>
        <v>31112.976000000002</v>
      </c>
      <c r="U173" s="64">
        <v>0</v>
      </c>
      <c r="V173" s="90">
        <f t="shared" si="62"/>
        <v>0</v>
      </c>
      <c r="W173" s="3"/>
      <c r="X173" s="91">
        <f t="shared" si="63"/>
        <v>0</v>
      </c>
      <c r="Y173" s="110">
        <f t="shared" si="64"/>
        <v>237367.536</v>
      </c>
      <c r="Z173" s="32"/>
      <c r="AA173" s="12">
        <f t="shared" si="65"/>
        <v>0</v>
      </c>
      <c r="AB173" s="25">
        <f t="shared" si="66"/>
        <v>513189.312</v>
      </c>
      <c r="AC173" s="44"/>
      <c r="AD173" s="8">
        <f t="shared" si="73"/>
        <v>513189.312</v>
      </c>
      <c r="AE173" s="167">
        <v>196356.19199999998</v>
      </c>
      <c r="AF173" s="168">
        <v>0</v>
      </c>
      <c r="AG173" s="168">
        <v>42765.776</v>
      </c>
      <c r="AH173" s="168">
        <v>0</v>
      </c>
      <c r="AI173" s="168">
        <v>513189.312</v>
      </c>
      <c r="AJ173" s="59"/>
      <c r="AK173" s="59"/>
      <c r="AL173" s="45">
        <v>0</v>
      </c>
      <c r="AM173" s="45">
        <v>16684.53</v>
      </c>
      <c r="AN173" s="2">
        <v>0</v>
      </c>
      <c r="AO173" s="2">
        <v>70903.3</v>
      </c>
      <c r="AP173" s="1">
        <v>0</v>
      </c>
      <c r="AQ173" s="1">
        <v>13633.78</v>
      </c>
      <c r="AR173" s="24">
        <v>0</v>
      </c>
      <c r="AS173" s="24">
        <v>17069.78</v>
      </c>
      <c r="AT173" s="1">
        <v>0</v>
      </c>
      <c r="AU173" s="1">
        <v>20042.82</v>
      </c>
      <c r="AV173" s="24">
        <v>0</v>
      </c>
      <c r="AW173" s="24">
        <v>26518.84</v>
      </c>
      <c r="AX173" s="45">
        <v>0</v>
      </c>
      <c r="AY173" s="45">
        <v>22923.32</v>
      </c>
      <c r="AZ173" s="24">
        <v>0</v>
      </c>
      <c r="BA173" s="24">
        <v>21168.91</v>
      </c>
      <c r="BB173" s="24">
        <v>0</v>
      </c>
      <c r="BC173" s="24">
        <v>28643.64</v>
      </c>
      <c r="BD173" s="24">
        <v>0</v>
      </c>
      <c r="BE173" s="24">
        <v>13633.78</v>
      </c>
      <c r="BF173" s="24">
        <v>0</v>
      </c>
      <c r="BG173" s="24">
        <v>19818.87</v>
      </c>
      <c r="BH173" s="24">
        <v>0</v>
      </c>
      <c r="BI173" s="24">
        <v>36989.68</v>
      </c>
      <c r="BJ173" s="9">
        <f t="shared" si="74"/>
        <v>0</v>
      </c>
      <c r="BK173" s="9">
        <f t="shared" si="75"/>
        <v>308031.25</v>
      </c>
      <c r="BL173" s="153">
        <f t="shared" si="76"/>
        <v>308031.25</v>
      </c>
      <c r="BM173" s="154"/>
      <c r="BN173" s="154"/>
      <c r="BO173" s="154">
        <v>2266.44</v>
      </c>
      <c r="BP173" s="154">
        <v>5650.33</v>
      </c>
      <c r="BQ173" s="154"/>
      <c r="BR173" s="155">
        <f t="shared" si="67"/>
        <v>315948.02</v>
      </c>
      <c r="BS173" s="198">
        <v>4251.81</v>
      </c>
      <c r="BT173" s="199"/>
      <c r="BU173" s="20">
        <f t="shared" si="68"/>
        <v>201493.10199999996</v>
      </c>
      <c r="BV173" s="231">
        <v>781317.66</v>
      </c>
      <c r="BW173" s="229"/>
      <c r="BX173" s="230"/>
    </row>
    <row r="174" spans="1:76" ht="15.75">
      <c r="A174" s="1">
        <v>167</v>
      </c>
      <c r="B174" s="1" t="s">
        <v>155</v>
      </c>
      <c r="C174" s="1">
        <v>121.9</v>
      </c>
      <c r="D174" s="1">
        <v>0</v>
      </c>
      <c r="E174" s="1">
        <f aca="true" t="shared" si="78" ref="E174:E232">C174+D174</f>
        <v>121.9</v>
      </c>
      <c r="F174" s="2">
        <v>6.73</v>
      </c>
      <c r="G174" s="2">
        <f t="shared" si="69"/>
        <v>820.3870000000001</v>
      </c>
      <c r="H174" s="2">
        <f t="shared" si="71"/>
        <v>4922.322</v>
      </c>
      <c r="I174" s="2">
        <f t="shared" si="56"/>
        <v>6.73</v>
      </c>
      <c r="J174" s="2">
        <f t="shared" si="57"/>
        <v>820.3870000000001</v>
      </c>
      <c r="K174" s="2">
        <f t="shared" si="72"/>
        <v>4922.322</v>
      </c>
      <c r="L174" s="97">
        <f t="shared" si="77"/>
        <v>9844.644</v>
      </c>
      <c r="M174" s="109">
        <v>3.92</v>
      </c>
      <c r="N174" s="89">
        <f t="shared" si="58"/>
        <v>5734.176</v>
      </c>
      <c r="O174" s="64"/>
      <c r="P174" s="90">
        <f t="shared" si="59"/>
        <v>0</v>
      </c>
      <c r="Q174" s="64"/>
      <c r="R174" s="90">
        <f t="shared" si="60"/>
        <v>0</v>
      </c>
      <c r="S174" s="64"/>
      <c r="T174" s="91">
        <f t="shared" si="61"/>
        <v>0</v>
      </c>
      <c r="U174" s="64">
        <v>0</v>
      </c>
      <c r="V174" s="90">
        <f t="shared" si="62"/>
        <v>0</v>
      </c>
      <c r="W174" s="96">
        <v>3.01</v>
      </c>
      <c r="X174" s="91">
        <f t="shared" si="63"/>
        <v>4403.028</v>
      </c>
      <c r="Y174" s="110">
        <f t="shared" si="64"/>
        <v>10137.204000000002</v>
      </c>
      <c r="Z174" s="32"/>
      <c r="AA174" s="12">
        <f t="shared" si="65"/>
        <v>0</v>
      </c>
      <c r="AB174" s="25">
        <f t="shared" si="66"/>
        <v>9844.644</v>
      </c>
      <c r="AC174" s="44"/>
      <c r="AD174" s="8">
        <f t="shared" si="73"/>
        <v>9844.644</v>
      </c>
      <c r="AE174" s="167">
        <v>3978.8160000000007</v>
      </c>
      <c r="AF174" s="168">
        <v>198.64105161751658</v>
      </c>
      <c r="AG174" s="168">
        <v>621.7459483824834</v>
      </c>
      <c r="AH174" s="168">
        <v>2383.692619410199</v>
      </c>
      <c r="AI174" s="168">
        <v>7460.951380589801</v>
      </c>
      <c r="AJ174" s="59" t="s">
        <v>299</v>
      </c>
      <c r="AK174" s="59"/>
      <c r="AL174" s="45">
        <v>0</v>
      </c>
      <c r="AM174" s="45">
        <v>332.79</v>
      </c>
      <c r="AN174" s="2">
        <v>0</v>
      </c>
      <c r="AO174" s="2">
        <v>332.79</v>
      </c>
      <c r="AP174" s="1">
        <v>0</v>
      </c>
      <c r="AQ174" s="1">
        <v>332.79</v>
      </c>
      <c r="AR174" s="24">
        <v>0</v>
      </c>
      <c r="AS174" s="24">
        <v>1031.29</v>
      </c>
      <c r="AT174" s="1">
        <v>0</v>
      </c>
      <c r="AU174" s="1">
        <v>332.79</v>
      </c>
      <c r="AV174" s="24">
        <v>0</v>
      </c>
      <c r="AW174" s="24">
        <v>332.79</v>
      </c>
      <c r="AX174" s="45">
        <v>0</v>
      </c>
      <c r="AY174" s="45">
        <v>332.79</v>
      </c>
      <c r="AZ174" s="24">
        <v>0</v>
      </c>
      <c r="BA174" s="24">
        <v>332.79</v>
      </c>
      <c r="BB174" s="24">
        <v>0</v>
      </c>
      <c r="BC174" s="24">
        <v>332.79</v>
      </c>
      <c r="BD174" s="24">
        <v>0</v>
      </c>
      <c r="BE174" s="24">
        <v>332.79</v>
      </c>
      <c r="BF174" s="24">
        <v>0</v>
      </c>
      <c r="BG174" s="24">
        <v>1158.79</v>
      </c>
      <c r="BH174" s="24">
        <v>0</v>
      </c>
      <c r="BI174" s="24">
        <v>332.79</v>
      </c>
      <c r="BJ174" s="9">
        <f t="shared" si="74"/>
        <v>0</v>
      </c>
      <c r="BK174" s="9">
        <f t="shared" si="75"/>
        <v>5517.9800000000005</v>
      </c>
      <c r="BL174" s="153">
        <f t="shared" si="76"/>
        <v>5517.9800000000005</v>
      </c>
      <c r="BM174" s="154"/>
      <c r="BN174" s="154"/>
      <c r="BO174" s="154"/>
      <c r="BP174" s="154"/>
      <c r="BQ174" s="154"/>
      <c r="BR174" s="155">
        <f t="shared" si="67"/>
        <v>5517.9800000000005</v>
      </c>
      <c r="BS174" s="198"/>
      <c r="BT174" s="199"/>
      <c r="BU174" s="20">
        <f t="shared" si="68"/>
        <v>4326.664</v>
      </c>
      <c r="BV174" s="231">
        <v>238658.25</v>
      </c>
      <c r="BW174" s="229"/>
      <c r="BX174" s="230"/>
    </row>
    <row r="175" spans="1:76" ht="15.75">
      <c r="A175" s="1">
        <v>168</v>
      </c>
      <c r="B175" s="1" t="s">
        <v>156</v>
      </c>
      <c r="C175" s="1">
        <v>162</v>
      </c>
      <c r="D175" s="1">
        <v>0</v>
      </c>
      <c r="E175" s="1">
        <f t="shared" si="78"/>
        <v>162</v>
      </c>
      <c r="F175" s="2">
        <v>6.73</v>
      </c>
      <c r="G175" s="2">
        <f t="shared" si="69"/>
        <v>1090.26</v>
      </c>
      <c r="H175" s="2">
        <f t="shared" si="71"/>
        <v>6541.5599999999995</v>
      </c>
      <c r="I175" s="2">
        <f t="shared" si="56"/>
        <v>6.73</v>
      </c>
      <c r="J175" s="2">
        <f t="shared" si="57"/>
        <v>1090.26</v>
      </c>
      <c r="K175" s="2">
        <f t="shared" si="72"/>
        <v>6541.5599999999995</v>
      </c>
      <c r="L175" s="97">
        <f t="shared" si="77"/>
        <v>13083.119999999999</v>
      </c>
      <c r="M175" s="109">
        <v>3.92</v>
      </c>
      <c r="N175" s="89">
        <f t="shared" si="58"/>
        <v>7620.48</v>
      </c>
      <c r="O175" s="64"/>
      <c r="P175" s="90">
        <f t="shared" si="59"/>
        <v>0</v>
      </c>
      <c r="Q175" s="64"/>
      <c r="R175" s="90">
        <f t="shared" si="60"/>
        <v>0</v>
      </c>
      <c r="S175" s="64"/>
      <c r="T175" s="91">
        <f t="shared" si="61"/>
        <v>0</v>
      </c>
      <c r="U175" s="64">
        <v>0</v>
      </c>
      <c r="V175" s="90">
        <f t="shared" si="62"/>
        <v>0</v>
      </c>
      <c r="W175" s="96">
        <v>3.01</v>
      </c>
      <c r="X175" s="91">
        <f t="shared" si="63"/>
        <v>5851.44</v>
      </c>
      <c r="Y175" s="110">
        <f t="shared" si="64"/>
        <v>13471.919999999998</v>
      </c>
      <c r="Z175" s="32"/>
      <c r="AA175" s="12">
        <f t="shared" si="65"/>
        <v>0</v>
      </c>
      <c r="AB175" s="25">
        <f t="shared" si="66"/>
        <v>13083.119999999999</v>
      </c>
      <c r="AC175" s="44"/>
      <c r="AD175" s="8">
        <f t="shared" si="73"/>
        <v>13083.119999999999</v>
      </c>
      <c r="AE175" s="167">
        <v>5287.68</v>
      </c>
      <c r="AF175" s="168">
        <v>263.98547215496365</v>
      </c>
      <c r="AG175" s="168">
        <v>826.2745278450362</v>
      </c>
      <c r="AH175" s="168">
        <v>3167.8256658595637</v>
      </c>
      <c r="AI175" s="168">
        <v>9915.294334140435</v>
      </c>
      <c r="AJ175" s="59" t="s">
        <v>299</v>
      </c>
      <c r="AK175" s="59"/>
      <c r="AL175" s="45">
        <v>0</v>
      </c>
      <c r="AM175" s="45">
        <v>442.26</v>
      </c>
      <c r="AN175" s="2">
        <v>0</v>
      </c>
      <c r="AO175" s="2">
        <v>442.26</v>
      </c>
      <c r="AP175" s="1">
        <v>0</v>
      </c>
      <c r="AQ175" s="1">
        <v>442.26</v>
      </c>
      <c r="AR175" s="24">
        <v>0</v>
      </c>
      <c r="AS175" s="24">
        <v>1140.76</v>
      </c>
      <c r="AT175" s="1">
        <v>0</v>
      </c>
      <c r="AU175" s="1">
        <v>442.26</v>
      </c>
      <c r="AV175" s="24">
        <v>0</v>
      </c>
      <c r="AW175" s="24">
        <v>442.26</v>
      </c>
      <c r="AX175" s="45">
        <v>0</v>
      </c>
      <c r="AY175" s="45">
        <v>442.26</v>
      </c>
      <c r="AZ175" s="24">
        <v>0</v>
      </c>
      <c r="BA175" s="24">
        <v>442.26</v>
      </c>
      <c r="BB175" s="24">
        <v>0</v>
      </c>
      <c r="BC175" s="24">
        <v>442.26</v>
      </c>
      <c r="BD175" s="24">
        <v>0</v>
      </c>
      <c r="BE175" s="24">
        <v>442.26</v>
      </c>
      <c r="BF175" s="24">
        <v>0</v>
      </c>
      <c r="BG175" s="24">
        <v>1268.26</v>
      </c>
      <c r="BH175" s="24">
        <v>0</v>
      </c>
      <c r="BI175" s="24">
        <v>442.26</v>
      </c>
      <c r="BJ175" s="9">
        <f t="shared" si="74"/>
        <v>0</v>
      </c>
      <c r="BK175" s="9">
        <f t="shared" si="75"/>
        <v>6831.620000000002</v>
      </c>
      <c r="BL175" s="153">
        <f t="shared" si="76"/>
        <v>6831.620000000002</v>
      </c>
      <c r="BM175" s="154"/>
      <c r="BN175" s="154"/>
      <c r="BO175" s="154"/>
      <c r="BP175" s="154"/>
      <c r="BQ175" s="154"/>
      <c r="BR175" s="155">
        <f t="shared" si="67"/>
        <v>6831.620000000002</v>
      </c>
      <c r="BS175" s="198"/>
      <c r="BT175" s="199"/>
      <c r="BU175" s="20">
        <f t="shared" si="68"/>
        <v>6251.499999999997</v>
      </c>
      <c r="BV175" s="231">
        <v>203130.83</v>
      </c>
      <c r="BW175" s="229"/>
      <c r="BX175" s="230"/>
    </row>
    <row r="176" spans="1:76" ht="15.75">
      <c r="A176" s="1">
        <v>169</v>
      </c>
      <c r="B176" s="1" t="s">
        <v>157</v>
      </c>
      <c r="C176" s="1">
        <v>672.2</v>
      </c>
      <c r="D176" s="1">
        <v>0</v>
      </c>
      <c r="E176" s="1">
        <f t="shared" si="78"/>
        <v>672.2</v>
      </c>
      <c r="F176" s="2">
        <v>14.7</v>
      </c>
      <c r="G176" s="2">
        <f t="shared" si="69"/>
        <v>9881.34</v>
      </c>
      <c r="H176" s="2">
        <f t="shared" si="71"/>
        <v>59288.04</v>
      </c>
      <c r="I176" s="2">
        <f t="shared" si="56"/>
        <v>14.7</v>
      </c>
      <c r="J176" s="2">
        <f t="shared" si="57"/>
        <v>9881.34</v>
      </c>
      <c r="K176" s="2">
        <f t="shared" si="72"/>
        <v>59288.04</v>
      </c>
      <c r="L176" s="97">
        <f t="shared" si="77"/>
        <v>118576.08</v>
      </c>
      <c r="M176" s="109">
        <v>3.92</v>
      </c>
      <c r="N176" s="89">
        <f t="shared" si="58"/>
        <v>31620.288000000004</v>
      </c>
      <c r="O176" s="64">
        <v>1.46</v>
      </c>
      <c r="P176" s="90">
        <f t="shared" si="59"/>
        <v>11776.944</v>
      </c>
      <c r="Q176" s="64"/>
      <c r="R176" s="90">
        <f t="shared" si="60"/>
        <v>0</v>
      </c>
      <c r="S176" s="64"/>
      <c r="T176" s="91">
        <f t="shared" si="61"/>
        <v>0</v>
      </c>
      <c r="U176" s="64">
        <v>0.51</v>
      </c>
      <c r="V176" s="90">
        <f t="shared" si="62"/>
        <v>4113.864</v>
      </c>
      <c r="W176" s="96"/>
      <c r="X176" s="91">
        <f t="shared" si="63"/>
        <v>0</v>
      </c>
      <c r="Y176" s="110">
        <f t="shared" si="64"/>
        <v>47511.096000000005</v>
      </c>
      <c r="Z176" s="32"/>
      <c r="AA176" s="12">
        <f t="shared" si="65"/>
        <v>0</v>
      </c>
      <c r="AB176" s="25">
        <f t="shared" si="66"/>
        <v>118576.08</v>
      </c>
      <c r="AC176" s="44"/>
      <c r="AD176" s="8">
        <f t="shared" si="73"/>
        <v>118576.08</v>
      </c>
      <c r="AE176" s="167">
        <v>21940.608000000004</v>
      </c>
      <c r="AF176" s="168">
        <v>5549.126896551724</v>
      </c>
      <c r="AG176" s="168">
        <v>4332.213103448276</v>
      </c>
      <c r="AH176" s="168">
        <v>66589.52275862069</v>
      </c>
      <c r="AI176" s="168">
        <v>51986.55724137931</v>
      </c>
      <c r="AJ176" s="59"/>
      <c r="AK176" s="59"/>
      <c r="AL176" s="45">
        <v>4961.97</v>
      </c>
      <c r="AM176" s="45">
        <v>1835.11</v>
      </c>
      <c r="AN176" s="2">
        <v>2421.18</v>
      </c>
      <c r="AO176" s="2">
        <v>1835.11</v>
      </c>
      <c r="AP176" s="1">
        <v>2033.11</v>
      </c>
      <c r="AQ176" s="1">
        <v>1835.11</v>
      </c>
      <c r="AR176" s="24">
        <v>5912.23</v>
      </c>
      <c r="AS176" s="24">
        <v>2533.61</v>
      </c>
      <c r="AT176" s="1">
        <v>3331.87</v>
      </c>
      <c r="AU176" s="1">
        <v>1835.11</v>
      </c>
      <c r="AV176" s="24">
        <v>5436.87</v>
      </c>
      <c r="AW176" s="24">
        <v>1835.11</v>
      </c>
      <c r="AX176" s="45">
        <v>4411.87</v>
      </c>
      <c r="AY176" s="45">
        <v>1835.11</v>
      </c>
      <c r="AZ176" s="24">
        <v>2251.87</v>
      </c>
      <c r="BA176" s="24">
        <v>1835.11</v>
      </c>
      <c r="BB176" s="24">
        <v>2251.87</v>
      </c>
      <c r="BC176" s="24">
        <v>1835.11</v>
      </c>
      <c r="BD176" s="24">
        <v>6809.14</v>
      </c>
      <c r="BE176" s="24">
        <v>4365.89</v>
      </c>
      <c r="BF176" s="24">
        <v>3215.14</v>
      </c>
      <c r="BG176" s="24">
        <v>2661.11</v>
      </c>
      <c r="BH176" s="24">
        <v>1209.96</v>
      </c>
      <c r="BI176" s="24">
        <v>1835.11</v>
      </c>
      <c r="BJ176" s="9">
        <f t="shared" si="74"/>
        <v>44247.079999999994</v>
      </c>
      <c r="BK176" s="9">
        <f t="shared" si="75"/>
        <v>26076.600000000002</v>
      </c>
      <c r="BL176" s="153">
        <f t="shared" si="76"/>
        <v>70323.68</v>
      </c>
      <c r="BM176" s="154"/>
      <c r="BN176" s="154"/>
      <c r="BO176" s="154"/>
      <c r="BP176" s="154"/>
      <c r="BQ176" s="154"/>
      <c r="BR176" s="155">
        <f t="shared" si="67"/>
        <v>70323.68</v>
      </c>
      <c r="BS176" s="198">
        <v>1472.12</v>
      </c>
      <c r="BT176" s="199"/>
      <c r="BU176" s="20">
        <f t="shared" si="68"/>
        <v>49724.52000000001</v>
      </c>
      <c r="BV176" s="231">
        <v>194549.66</v>
      </c>
      <c r="BW176" s="229"/>
      <c r="BX176" s="230"/>
    </row>
    <row r="177" spans="1:76" ht="15.75">
      <c r="A177" s="1">
        <v>170</v>
      </c>
      <c r="B177" s="1" t="s">
        <v>158</v>
      </c>
      <c r="C177" s="1">
        <v>132.5</v>
      </c>
      <c r="D177" s="1">
        <v>0</v>
      </c>
      <c r="E177" s="1">
        <f t="shared" si="78"/>
        <v>132.5</v>
      </c>
      <c r="F177" s="2">
        <v>6.73</v>
      </c>
      <c r="G177" s="2">
        <f t="shared" si="69"/>
        <v>891.725</v>
      </c>
      <c r="H177" s="2">
        <f t="shared" si="71"/>
        <v>5350.35</v>
      </c>
      <c r="I177" s="2">
        <f t="shared" si="56"/>
        <v>6.73</v>
      </c>
      <c r="J177" s="2">
        <f t="shared" si="57"/>
        <v>891.725</v>
      </c>
      <c r="K177" s="2">
        <f t="shared" si="72"/>
        <v>5350.35</v>
      </c>
      <c r="L177" s="97">
        <f t="shared" si="77"/>
        <v>10700.7</v>
      </c>
      <c r="M177" s="109">
        <v>3.92</v>
      </c>
      <c r="N177" s="89">
        <f t="shared" si="58"/>
        <v>6232.799999999999</v>
      </c>
      <c r="O177" s="64"/>
      <c r="P177" s="90">
        <f t="shared" si="59"/>
        <v>0</v>
      </c>
      <c r="Q177" s="64"/>
      <c r="R177" s="90">
        <f t="shared" si="60"/>
        <v>0</v>
      </c>
      <c r="S177" s="64"/>
      <c r="T177" s="91">
        <f t="shared" si="61"/>
        <v>0</v>
      </c>
      <c r="U177" s="64">
        <v>0</v>
      </c>
      <c r="V177" s="90">
        <f t="shared" si="62"/>
        <v>0</v>
      </c>
      <c r="W177" s="96">
        <v>3.01</v>
      </c>
      <c r="X177" s="91">
        <f t="shared" si="63"/>
        <v>4785.9</v>
      </c>
      <c r="Y177" s="110">
        <f t="shared" si="64"/>
        <v>11018.699999999999</v>
      </c>
      <c r="Z177" s="32"/>
      <c r="AA177" s="12">
        <f t="shared" si="65"/>
        <v>0</v>
      </c>
      <c r="AB177" s="25">
        <f t="shared" si="66"/>
        <v>10700.7</v>
      </c>
      <c r="AC177" s="44"/>
      <c r="AD177" s="8">
        <f t="shared" si="73"/>
        <v>10700.7</v>
      </c>
      <c r="AE177" s="167">
        <v>4324.8</v>
      </c>
      <c r="AF177" s="168">
        <v>215.91404358353512</v>
      </c>
      <c r="AG177" s="168">
        <v>675.8109564164649</v>
      </c>
      <c r="AH177" s="168">
        <v>2590.9685230024215</v>
      </c>
      <c r="AI177" s="168">
        <v>8109.731476997579</v>
      </c>
      <c r="AJ177" s="59" t="s">
        <v>299</v>
      </c>
      <c r="AK177" s="59"/>
      <c r="AL177" s="45">
        <v>0</v>
      </c>
      <c r="AM177" s="45">
        <v>361.73</v>
      </c>
      <c r="AN177" s="2">
        <v>0</v>
      </c>
      <c r="AO177" s="2">
        <v>361.73</v>
      </c>
      <c r="AP177" s="1">
        <v>0</v>
      </c>
      <c r="AQ177" s="1">
        <v>361.73</v>
      </c>
      <c r="AR177" s="24">
        <v>0</v>
      </c>
      <c r="AS177" s="24">
        <v>1060.23</v>
      </c>
      <c r="AT177" s="1">
        <v>0</v>
      </c>
      <c r="AU177" s="1">
        <v>361.73</v>
      </c>
      <c r="AV177" s="24">
        <v>0</v>
      </c>
      <c r="AW177" s="24">
        <v>361.73</v>
      </c>
      <c r="AX177" s="45">
        <v>0</v>
      </c>
      <c r="AY177" s="45">
        <v>361.73</v>
      </c>
      <c r="AZ177" s="24">
        <v>0</v>
      </c>
      <c r="BA177" s="24">
        <v>361.73</v>
      </c>
      <c r="BB177" s="24">
        <v>0</v>
      </c>
      <c r="BC177" s="24">
        <v>361.73</v>
      </c>
      <c r="BD177" s="24">
        <v>0</v>
      </c>
      <c r="BE177" s="24">
        <v>361.73</v>
      </c>
      <c r="BF177" s="24">
        <v>0</v>
      </c>
      <c r="BG177" s="24">
        <v>1187.73</v>
      </c>
      <c r="BH177" s="24">
        <v>0</v>
      </c>
      <c r="BI177" s="24">
        <v>361.73</v>
      </c>
      <c r="BJ177" s="9">
        <f t="shared" si="74"/>
        <v>0</v>
      </c>
      <c r="BK177" s="9">
        <f t="shared" si="75"/>
        <v>5865.26</v>
      </c>
      <c r="BL177" s="153">
        <f t="shared" si="76"/>
        <v>5865.26</v>
      </c>
      <c r="BM177" s="154"/>
      <c r="BN177" s="154"/>
      <c r="BO177" s="154"/>
      <c r="BP177" s="154"/>
      <c r="BQ177" s="154"/>
      <c r="BR177" s="155">
        <f t="shared" si="67"/>
        <v>5865.26</v>
      </c>
      <c r="BS177" s="198"/>
      <c r="BT177" s="199"/>
      <c r="BU177" s="20">
        <f t="shared" si="68"/>
        <v>4835.4400000000005</v>
      </c>
      <c r="BV177" s="231">
        <v>64918.31</v>
      </c>
      <c r="BW177" s="229"/>
      <c r="BX177" s="230"/>
    </row>
    <row r="178" spans="1:76" ht="15.75">
      <c r="A178" s="1">
        <v>171</v>
      </c>
      <c r="B178" s="1" t="s">
        <v>159</v>
      </c>
      <c r="C178" s="1">
        <v>725.2</v>
      </c>
      <c r="D178" s="1">
        <v>0</v>
      </c>
      <c r="E178" s="1">
        <f t="shared" si="78"/>
        <v>725.2</v>
      </c>
      <c r="F178" s="2">
        <v>13.78</v>
      </c>
      <c r="G178" s="2">
        <f t="shared" si="69"/>
        <v>9993.256</v>
      </c>
      <c r="H178" s="2">
        <f t="shared" si="71"/>
        <v>59959.53599999999</v>
      </c>
      <c r="I178" s="2">
        <f t="shared" si="56"/>
        <v>13.78</v>
      </c>
      <c r="J178" s="2">
        <f t="shared" si="57"/>
        <v>9993.256</v>
      </c>
      <c r="K178" s="2">
        <f t="shared" si="72"/>
        <v>59959.53599999999</v>
      </c>
      <c r="L178" s="97">
        <f t="shared" si="77"/>
        <v>119919.07199999999</v>
      </c>
      <c r="M178" s="109">
        <v>3.92</v>
      </c>
      <c r="N178" s="89">
        <f t="shared" si="58"/>
        <v>34113.408</v>
      </c>
      <c r="O178" s="64">
        <v>1.46</v>
      </c>
      <c r="P178" s="90">
        <f t="shared" si="59"/>
        <v>12705.504</v>
      </c>
      <c r="Q178" s="64"/>
      <c r="R178" s="90">
        <f t="shared" si="60"/>
        <v>0</v>
      </c>
      <c r="S178" s="64"/>
      <c r="T178" s="91">
        <f t="shared" si="61"/>
        <v>0</v>
      </c>
      <c r="U178" s="64">
        <v>0</v>
      </c>
      <c r="V178" s="90">
        <f t="shared" si="62"/>
        <v>0</v>
      </c>
      <c r="W178" s="96"/>
      <c r="X178" s="91">
        <f t="shared" si="63"/>
        <v>0</v>
      </c>
      <c r="Y178" s="110">
        <f t="shared" si="64"/>
        <v>46818.912000000004</v>
      </c>
      <c r="Z178" s="32"/>
      <c r="AA178" s="12">
        <f t="shared" si="65"/>
        <v>0</v>
      </c>
      <c r="AB178" s="25">
        <f t="shared" si="66"/>
        <v>119919.07199999999</v>
      </c>
      <c r="AC178" s="44"/>
      <c r="AD178" s="8">
        <f t="shared" si="73"/>
        <v>119919.07199999999</v>
      </c>
      <c r="AE178" s="167">
        <v>26430.528000000006</v>
      </c>
      <c r="AF178" s="168">
        <v>5365.785518523841</v>
      </c>
      <c r="AG178" s="168">
        <v>4627.470481476158</v>
      </c>
      <c r="AH178" s="168">
        <v>64389.42622228609</v>
      </c>
      <c r="AI178" s="168">
        <v>55529.64577771389</v>
      </c>
      <c r="AJ178" s="59" t="s">
        <v>313</v>
      </c>
      <c r="AK178" s="59"/>
      <c r="AL178" s="45">
        <v>0</v>
      </c>
      <c r="AM178" s="45">
        <v>2224.27</v>
      </c>
      <c r="AN178" s="2">
        <v>4674.02</v>
      </c>
      <c r="AO178" s="2">
        <v>2224.27</v>
      </c>
      <c r="AP178" s="1">
        <v>0</v>
      </c>
      <c r="AQ178" s="1">
        <v>2224.27</v>
      </c>
      <c r="AR178" s="24">
        <v>0</v>
      </c>
      <c r="AS178" s="24">
        <v>3500.27</v>
      </c>
      <c r="AT178" s="1">
        <v>0</v>
      </c>
      <c r="AU178" s="1">
        <v>2224.27</v>
      </c>
      <c r="AV178" s="24">
        <v>3437</v>
      </c>
      <c r="AW178" s="24">
        <v>2224.27</v>
      </c>
      <c r="AX178" s="45">
        <v>12894.53</v>
      </c>
      <c r="AY178" s="45">
        <v>2224.27</v>
      </c>
      <c r="AZ178" s="24">
        <v>23263.88</v>
      </c>
      <c r="BA178" s="24">
        <v>2224.27</v>
      </c>
      <c r="BB178" s="24">
        <v>1685.7</v>
      </c>
      <c r="BC178" s="24">
        <v>4328.15</v>
      </c>
      <c r="BD178" s="24">
        <v>1114.87</v>
      </c>
      <c r="BE178" s="24">
        <v>5243.67</v>
      </c>
      <c r="BF178" s="24">
        <v>0</v>
      </c>
      <c r="BG178" s="24">
        <v>4639.79</v>
      </c>
      <c r="BH178" s="24">
        <v>2977.27</v>
      </c>
      <c r="BI178" s="24">
        <v>2224.27</v>
      </c>
      <c r="BJ178" s="9">
        <f t="shared" si="74"/>
        <v>50047.270000000004</v>
      </c>
      <c r="BK178" s="9">
        <f t="shared" si="75"/>
        <v>35506.03999999999</v>
      </c>
      <c r="BL178" s="153">
        <f t="shared" si="76"/>
        <v>85553.31</v>
      </c>
      <c r="BM178" s="154"/>
      <c r="BN178" s="154"/>
      <c r="BO178" s="154"/>
      <c r="BP178" s="154"/>
      <c r="BQ178" s="154"/>
      <c r="BR178" s="155">
        <f t="shared" si="67"/>
        <v>85553.31</v>
      </c>
      <c r="BS178" s="198">
        <v>1583.37</v>
      </c>
      <c r="BT178" s="199"/>
      <c r="BU178" s="20">
        <f t="shared" si="68"/>
        <v>35949.13199999999</v>
      </c>
      <c r="BV178" s="231">
        <v>42765.73</v>
      </c>
      <c r="BW178" s="229"/>
      <c r="BX178" s="230"/>
    </row>
    <row r="179" spans="1:76" ht="15.75">
      <c r="A179" s="1">
        <v>172</v>
      </c>
      <c r="B179" s="1" t="s">
        <v>160</v>
      </c>
      <c r="C179" s="1">
        <v>716.9</v>
      </c>
      <c r="D179" s="1">
        <v>0</v>
      </c>
      <c r="E179" s="1">
        <f t="shared" si="78"/>
        <v>716.9</v>
      </c>
      <c r="F179" s="2">
        <v>13.78</v>
      </c>
      <c r="G179" s="2">
        <f t="shared" si="69"/>
        <v>9878.882</v>
      </c>
      <c r="H179" s="2">
        <f t="shared" si="71"/>
        <v>59273.292</v>
      </c>
      <c r="I179" s="2">
        <f t="shared" si="56"/>
        <v>13.78</v>
      </c>
      <c r="J179" s="2">
        <f t="shared" si="57"/>
        <v>9878.882</v>
      </c>
      <c r="K179" s="2">
        <f t="shared" si="72"/>
        <v>59273.292</v>
      </c>
      <c r="L179" s="97">
        <f t="shared" si="77"/>
        <v>118546.584</v>
      </c>
      <c r="M179" s="109">
        <v>3.92</v>
      </c>
      <c r="N179" s="89">
        <f t="shared" si="58"/>
        <v>33722.976</v>
      </c>
      <c r="O179" s="64">
        <v>1.46</v>
      </c>
      <c r="P179" s="90">
        <f t="shared" si="59"/>
        <v>12560.088</v>
      </c>
      <c r="Q179" s="64"/>
      <c r="R179" s="90">
        <f t="shared" si="60"/>
        <v>0</v>
      </c>
      <c r="S179" s="64"/>
      <c r="T179" s="91">
        <f t="shared" si="61"/>
        <v>0</v>
      </c>
      <c r="U179" s="64">
        <v>0</v>
      </c>
      <c r="V179" s="90">
        <f t="shared" si="62"/>
        <v>0</v>
      </c>
      <c r="W179" s="96"/>
      <c r="X179" s="91">
        <f t="shared" si="63"/>
        <v>0</v>
      </c>
      <c r="Y179" s="110">
        <f t="shared" si="64"/>
        <v>46283.064</v>
      </c>
      <c r="Z179" s="32"/>
      <c r="AA179" s="12">
        <f t="shared" si="65"/>
        <v>0</v>
      </c>
      <c r="AB179" s="25">
        <f t="shared" si="66"/>
        <v>118546.584</v>
      </c>
      <c r="AC179" s="44"/>
      <c r="AD179" s="8">
        <f t="shared" si="73"/>
        <v>118546.584</v>
      </c>
      <c r="AE179" s="167">
        <v>49043.064</v>
      </c>
      <c r="AF179" s="168">
        <v>5291.075635153916</v>
      </c>
      <c r="AG179" s="168">
        <v>4587.806364846085</v>
      </c>
      <c r="AH179" s="168">
        <v>63492.907621846985</v>
      </c>
      <c r="AI179" s="168">
        <v>55053.67637815302</v>
      </c>
      <c r="AJ179" s="59"/>
      <c r="AK179" s="59"/>
      <c r="AL179" s="45">
        <v>2426.47</v>
      </c>
      <c r="AM179" s="45">
        <v>2186.86</v>
      </c>
      <c r="AN179" s="2">
        <v>8649.5</v>
      </c>
      <c r="AO179" s="2">
        <v>4476.19</v>
      </c>
      <c r="AP179" s="1">
        <v>1738.41</v>
      </c>
      <c r="AQ179" s="1">
        <v>2186.86</v>
      </c>
      <c r="AR179" s="24">
        <v>1290.24</v>
      </c>
      <c r="AS179" s="24">
        <v>3462.86</v>
      </c>
      <c r="AT179" s="1">
        <v>2401.28</v>
      </c>
      <c r="AU179" s="1">
        <v>2186.86</v>
      </c>
      <c r="AV179" s="24">
        <v>81622.3</v>
      </c>
      <c r="AW179" s="24">
        <v>2186.86</v>
      </c>
      <c r="AX179" s="45">
        <v>2401.28</v>
      </c>
      <c r="AY179" s="45">
        <v>4704.7</v>
      </c>
      <c r="AZ179" s="24">
        <v>6111.31</v>
      </c>
      <c r="BA179" s="24">
        <v>2186.86</v>
      </c>
      <c r="BB179" s="24">
        <v>4598.29</v>
      </c>
      <c r="BC179" s="24">
        <v>26403.68</v>
      </c>
      <c r="BD179" s="24">
        <v>1290.24</v>
      </c>
      <c r="BE179" s="24">
        <v>7855.75</v>
      </c>
      <c r="BF179" s="24">
        <v>3803.1</v>
      </c>
      <c r="BG179" s="24">
        <v>7692.08</v>
      </c>
      <c r="BH179" s="24">
        <v>4267.51</v>
      </c>
      <c r="BI179" s="24">
        <v>2186.86</v>
      </c>
      <c r="BJ179" s="9">
        <f t="shared" si="74"/>
        <v>120599.93</v>
      </c>
      <c r="BK179" s="9">
        <f t="shared" si="75"/>
        <v>67716.42</v>
      </c>
      <c r="BL179" s="153">
        <f t="shared" si="76"/>
        <v>188316.34999999998</v>
      </c>
      <c r="BM179" s="154"/>
      <c r="BN179" s="154"/>
      <c r="BO179" s="154"/>
      <c r="BP179" s="154"/>
      <c r="BQ179" s="154"/>
      <c r="BR179" s="155">
        <f t="shared" si="67"/>
        <v>188316.34999999998</v>
      </c>
      <c r="BS179" s="198">
        <v>1566.29</v>
      </c>
      <c r="BT179" s="199"/>
      <c r="BU179" s="20">
        <f t="shared" si="68"/>
        <v>-68203.47599999998</v>
      </c>
      <c r="BV179" s="231">
        <v>140720.35</v>
      </c>
      <c r="BW179" s="229"/>
      <c r="BX179" s="230"/>
    </row>
    <row r="180" spans="1:76" ht="15.75">
      <c r="A180" s="1">
        <v>173</v>
      </c>
      <c r="B180" s="1" t="s">
        <v>161</v>
      </c>
      <c r="C180" s="1">
        <v>645.1</v>
      </c>
      <c r="D180" s="1">
        <v>99.5</v>
      </c>
      <c r="E180" s="1">
        <f t="shared" si="78"/>
        <v>744.6</v>
      </c>
      <c r="F180" s="2">
        <v>13.78</v>
      </c>
      <c r="G180" s="2">
        <f t="shared" si="69"/>
        <v>10260.588</v>
      </c>
      <c r="H180" s="2">
        <f t="shared" si="71"/>
        <v>61563.528</v>
      </c>
      <c r="I180" s="2">
        <f aca="true" t="shared" si="79" ref="I180:I235">F180*1</f>
        <v>13.78</v>
      </c>
      <c r="J180" s="2">
        <f t="shared" si="57"/>
        <v>10260.588</v>
      </c>
      <c r="K180" s="2">
        <f t="shared" si="72"/>
        <v>61563.528</v>
      </c>
      <c r="L180" s="97">
        <f t="shared" si="77"/>
        <v>123127.056</v>
      </c>
      <c r="M180" s="109">
        <v>3.92</v>
      </c>
      <c r="N180" s="89">
        <f t="shared" si="58"/>
        <v>35025.984</v>
      </c>
      <c r="O180" s="64">
        <v>1.46</v>
      </c>
      <c r="P180" s="90">
        <f t="shared" si="59"/>
        <v>13045.392</v>
      </c>
      <c r="Q180" s="64"/>
      <c r="R180" s="90">
        <f t="shared" si="60"/>
        <v>0</v>
      </c>
      <c r="S180" s="64"/>
      <c r="T180" s="91">
        <f t="shared" si="61"/>
        <v>0</v>
      </c>
      <c r="U180" s="64">
        <v>0</v>
      </c>
      <c r="V180" s="90">
        <f t="shared" si="62"/>
        <v>0</v>
      </c>
      <c r="W180" s="96"/>
      <c r="X180" s="91">
        <f t="shared" si="63"/>
        <v>0</v>
      </c>
      <c r="Y180" s="110">
        <f t="shared" si="64"/>
        <v>48071.376</v>
      </c>
      <c r="Z180" s="32"/>
      <c r="AA180" s="12">
        <f t="shared" si="65"/>
        <v>0</v>
      </c>
      <c r="AB180" s="25">
        <f t="shared" si="66"/>
        <v>123127.056</v>
      </c>
      <c r="AC180" s="44"/>
      <c r="AD180" s="8">
        <f t="shared" si="73"/>
        <v>123127.056</v>
      </c>
      <c r="AE180" s="167">
        <v>50831.376000000004</v>
      </c>
      <c r="AF180" s="168">
        <v>5429.718882821786</v>
      </c>
      <c r="AG180" s="168">
        <v>4830.869117178214</v>
      </c>
      <c r="AH180" s="168">
        <v>65156.62659386143</v>
      </c>
      <c r="AI180" s="168">
        <v>57970.429406138566</v>
      </c>
      <c r="AJ180" s="26"/>
      <c r="AK180" s="26"/>
      <c r="AL180" s="45">
        <v>2705.39</v>
      </c>
      <c r="AM180" s="45">
        <v>2262.76</v>
      </c>
      <c r="AN180" s="2">
        <v>4025.52</v>
      </c>
      <c r="AO180" s="2">
        <v>2262.76</v>
      </c>
      <c r="AP180" s="1">
        <v>1788.45</v>
      </c>
      <c r="AQ180" s="1">
        <v>2262.76</v>
      </c>
      <c r="AR180" s="24">
        <v>1340.28</v>
      </c>
      <c r="AS180" s="24">
        <v>3538.76</v>
      </c>
      <c r="AT180" s="1">
        <v>2494.41</v>
      </c>
      <c r="AU180" s="1">
        <v>2262.76</v>
      </c>
      <c r="AV180" s="24">
        <v>2844.41</v>
      </c>
      <c r="AW180" s="24">
        <v>2262.76</v>
      </c>
      <c r="AX180" s="45">
        <v>2494.41</v>
      </c>
      <c r="AY180" s="45">
        <v>2262.76</v>
      </c>
      <c r="AZ180" s="24">
        <v>3201.14</v>
      </c>
      <c r="BA180" s="24">
        <v>2262.76</v>
      </c>
      <c r="BB180" s="24">
        <v>2494.41</v>
      </c>
      <c r="BC180" s="24">
        <v>4366.64</v>
      </c>
      <c r="BD180" s="24">
        <v>1340.28</v>
      </c>
      <c r="BE180" s="24">
        <v>13411.08</v>
      </c>
      <c r="BF180" s="24">
        <v>3345.46</v>
      </c>
      <c r="BG180" s="24">
        <v>5853.68</v>
      </c>
      <c r="BH180" s="24">
        <v>8754.66</v>
      </c>
      <c r="BI180" s="24">
        <v>14016.84</v>
      </c>
      <c r="BJ180" s="9">
        <f t="shared" si="74"/>
        <v>36828.82</v>
      </c>
      <c r="BK180" s="9">
        <f t="shared" si="75"/>
        <v>57026.32000000001</v>
      </c>
      <c r="BL180" s="153">
        <f t="shared" si="76"/>
        <v>93855.14000000001</v>
      </c>
      <c r="BM180" s="154"/>
      <c r="BN180" s="154">
        <f>(92000-16566.64-29845.7)</f>
        <v>45587.66</v>
      </c>
      <c r="BO180" s="154"/>
      <c r="BP180" s="154"/>
      <c r="BQ180" s="154"/>
      <c r="BR180" s="155">
        <f t="shared" si="67"/>
        <v>139442.80000000002</v>
      </c>
      <c r="BS180" s="198">
        <v>1628.92</v>
      </c>
      <c r="BT180" s="199"/>
      <c r="BU180" s="20">
        <f t="shared" si="68"/>
        <v>-14686.82400000002</v>
      </c>
      <c r="BV180" s="231">
        <v>330022.52</v>
      </c>
      <c r="BW180" s="229"/>
      <c r="BX180" s="230"/>
    </row>
    <row r="181" spans="1:76" ht="15.75">
      <c r="A181" s="1">
        <v>174</v>
      </c>
      <c r="B181" s="1" t="s">
        <v>162</v>
      </c>
      <c r="C181" s="1">
        <v>2076.8</v>
      </c>
      <c r="D181" s="1">
        <v>0</v>
      </c>
      <c r="E181" s="1">
        <f t="shared" si="78"/>
        <v>2076.8</v>
      </c>
      <c r="F181" s="2">
        <v>15.76</v>
      </c>
      <c r="G181" s="2">
        <f t="shared" si="69"/>
        <v>32730.368000000002</v>
      </c>
      <c r="H181" s="2">
        <f t="shared" si="71"/>
        <v>196382.208</v>
      </c>
      <c r="I181" s="2">
        <f t="shared" si="79"/>
        <v>15.76</v>
      </c>
      <c r="J181" s="2">
        <f t="shared" si="57"/>
        <v>32730.368000000002</v>
      </c>
      <c r="K181" s="2">
        <f t="shared" si="72"/>
        <v>196382.208</v>
      </c>
      <c r="L181" s="97">
        <f t="shared" si="77"/>
        <v>392764.416</v>
      </c>
      <c r="M181" s="109">
        <v>3.92</v>
      </c>
      <c r="N181" s="89">
        <f t="shared" si="58"/>
        <v>97692.672</v>
      </c>
      <c r="O181" s="64">
        <v>1.46</v>
      </c>
      <c r="P181" s="90">
        <f t="shared" si="59"/>
        <v>36385.536</v>
      </c>
      <c r="Q181" s="64">
        <v>0.52</v>
      </c>
      <c r="R181" s="90">
        <f t="shared" si="60"/>
        <v>12959.232000000002</v>
      </c>
      <c r="S181" s="64">
        <v>0.89</v>
      </c>
      <c r="T181" s="91">
        <f t="shared" si="61"/>
        <v>22180.224000000002</v>
      </c>
      <c r="U181" s="64">
        <v>0</v>
      </c>
      <c r="V181" s="90">
        <f t="shared" si="62"/>
        <v>0</v>
      </c>
      <c r="W181" s="96"/>
      <c r="X181" s="91">
        <f t="shared" si="63"/>
        <v>0</v>
      </c>
      <c r="Y181" s="110">
        <f t="shared" si="64"/>
        <v>169217.664</v>
      </c>
      <c r="Z181" s="32"/>
      <c r="AA181" s="12">
        <f t="shared" si="65"/>
        <v>0</v>
      </c>
      <c r="AB181" s="25">
        <f t="shared" si="66"/>
        <v>392764.416</v>
      </c>
      <c r="AC181" s="44"/>
      <c r="AD181" s="8">
        <f t="shared" si="73"/>
        <v>392764.416</v>
      </c>
      <c r="AE181" s="167">
        <v>136838.208</v>
      </c>
      <c r="AF181" s="168">
        <v>0</v>
      </c>
      <c r="AG181" s="168">
        <v>32730.368000000002</v>
      </c>
      <c r="AH181" s="168">
        <v>0</v>
      </c>
      <c r="AI181" s="168">
        <v>392764.416</v>
      </c>
      <c r="AJ181" s="59"/>
      <c r="AK181" s="59"/>
      <c r="AL181" s="45">
        <v>0</v>
      </c>
      <c r="AM181" s="45">
        <v>13796.22</v>
      </c>
      <c r="AN181" s="2">
        <v>0</v>
      </c>
      <c r="AO181" s="2">
        <v>38805.64</v>
      </c>
      <c r="AP181" s="1">
        <v>0</v>
      </c>
      <c r="AQ181" s="1">
        <v>255651.29</v>
      </c>
      <c r="AR181" s="24">
        <v>0</v>
      </c>
      <c r="AS181" s="24">
        <v>529991.78</v>
      </c>
      <c r="AT181" s="1">
        <v>0</v>
      </c>
      <c r="AU181" s="1">
        <v>14957.13</v>
      </c>
      <c r="AV181" s="24">
        <v>0</v>
      </c>
      <c r="AW181" s="24">
        <v>18677.4</v>
      </c>
      <c r="AX181" s="45">
        <v>0</v>
      </c>
      <c r="AY181" s="45">
        <v>31512.38</v>
      </c>
      <c r="AZ181" s="24">
        <v>0</v>
      </c>
      <c r="BA181" s="24">
        <v>27271.12</v>
      </c>
      <c r="BB181" s="24">
        <v>0</v>
      </c>
      <c r="BC181" s="24">
        <v>20769.96</v>
      </c>
      <c r="BD181" s="24">
        <v>0</v>
      </c>
      <c r="BE181" s="24">
        <v>12099.7</v>
      </c>
      <c r="BF181" s="24">
        <v>0</v>
      </c>
      <c r="BG181" s="24">
        <v>21194.12</v>
      </c>
      <c r="BH181" s="24">
        <v>0</v>
      </c>
      <c r="BI181" s="24">
        <v>49546.81</v>
      </c>
      <c r="BJ181" s="9">
        <f t="shared" si="74"/>
        <v>0</v>
      </c>
      <c r="BK181" s="9">
        <f t="shared" si="75"/>
        <v>1034273.55</v>
      </c>
      <c r="BL181" s="153">
        <f t="shared" si="76"/>
        <v>1034273.55</v>
      </c>
      <c r="BM181" s="154"/>
      <c r="BN181" s="154"/>
      <c r="BO181" s="154">
        <v>1615.73</v>
      </c>
      <c r="BP181" s="154"/>
      <c r="BQ181" s="154"/>
      <c r="BR181" s="155">
        <f t="shared" si="67"/>
        <v>1035889.28</v>
      </c>
      <c r="BS181" s="198">
        <v>3032.13</v>
      </c>
      <c r="BT181" s="199"/>
      <c r="BU181" s="20">
        <f t="shared" si="68"/>
        <v>-640092.734</v>
      </c>
      <c r="BV181" s="231">
        <v>769149.38</v>
      </c>
      <c r="BW181" s="229"/>
      <c r="BX181" s="230"/>
    </row>
    <row r="182" spans="1:76" ht="15.75">
      <c r="A182" s="1">
        <v>175</v>
      </c>
      <c r="B182" s="1" t="s">
        <v>280</v>
      </c>
      <c r="C182" s="1">
        <v>4075.1</v>
      </c>
      <c r="D182" s="1">
        <v>0</v>
      </c>
      <c r="E182" s="1">
        <f t="shared" si="78"/>
        <v>4075.1</v>
      </c>
      <c r="F182" s="2">
        <v>14.68</v>
      </c>
      <c r="G182" s="2">
        <f t="shared" si="69"/>
        <v>59822.468</v>
      </c>
      <c r="H182" s="2">
        <f t="shared" si="71"/>
        <v>358934.808</v>
      </c>
      <c r="I182" s="2">
        <f t="shared" si="79"/>
        <v>14.68</v>
      </c>
      <c r="J182" s="2">
        <f t="shared" si="57"/>
        <v>59822.468</v>
      </c>
      <c r="K182" s="2">
        <f t="shared" si="72"/>
        <v>358934.808</v>
      </c>
      <c r="L182" s="97">
        <f t="shared" si="77"/>
        <v>717869.616</v>
      </c>
      <c r="M182" s="109">
        <v>3.92</v>
      </c>
      <c r="N182" s="89">
        <f t="shared" si="58"/>
        <v>191692.704</v>
      </c>
      <c r="O182" s="64">
        <v>1.46</v>
      </c>
      <c r="P182" s="90">
        <f t="shared" si="59"/>
        <v>71395.752</v>
      </c>
      <c r="Q182" s="64">
        <v>0.52</v>
      </c>
      <c r="R182" s="90">
        <f t="shared" si="60"/>
        <v>25428.624000000003</v>
      </c>
      <c r="S182" s="64">
        <v>0.89</v>
      </c>
      <c r="T182" s="91">
        <f t="shared" si="61"/>
        <v>43522.068</v>
      </c>
      <c r="U182" s="64">
        <v>0</v>
      </c>
      <c r="V182" s="90">
        <f t="shared" si="62"/>
        <v>0</v>
      </c>
      <c r="W182" s="96"/>
      <c r="X182" s="91">
        <f t="shared" si="63"/>
        <v>0</v>
      </c>
      <c r="Y182" s="110">
        <f t="shared" si="64"/>
        <v>332039.14800000004</v>
      </c>
      <c r="Z182" s="32"/>
      <c r="AA182" s="12">
        <f t="shared" si="65"/>
        <v>0</v>
      </c>
      <c r="AB182" s="25">
        <f t="shared" si="66"/>
        <v>717869.616</v>
      </c>
      <c r="AC182" s="44"/>
      <c r="AD182" s="8">
        <f t="shared" si="73"/>
        <v>717869.616</v>
      </c>
      <c r="AE182" s="167">
        <v>263088.456</v>
      </c>
      <c r="AF182" s="168">
        <v>0</v>
      </c>
      <c r="AG182" s="168">
        <v>59822.468</v>
      </c>
      <c r="AH182" s="168">
        <v>0</v>
      </c>
      <c r="AI182" s="168">
        <v>717869.616</v>
      </c>
      <c r="AJ182" s="59"/>
      <c r="AK182" s="59"/>
      <c r="AL182" s="45">
        <v>0</v>
      </c>
      <c r="AM182" s="45">
        <v>98158.37</v>
      </c>
      <c r="AN182" s="2">
        <v>0</v>
      </c>
      <c r="AO182" s="2">
        <v>19071.47</v>
      </c>
      <c r="AP182" s="1">
        <v>0</v>
      </c>
      <c r="AQ182" s="1">
        <v>19904.99</v>
      </c>
      <c r="AR182" s="24">
        <v>0</v>
      </c>
      <c r="AS182" s="24">
        <v>20347.47</v>
      </c>
      <c r="AT182" s="1">
        <v>0</v>
      </c>
      <c r="AU182" s="1">
        <v>32734.22</v>
      </c>
      <c r="AV182" s="24">
        <v>0</v>
      </c>
      <c r="AW182" s="24">
        <v>33445.21</v>
      </c>
      <c r="AX182" s="45">
        <v>0</v>
      </c>
      <c r="AY182" s="45">
        <v>34296.4</v>
      </c>
      <c r="AZ182" s="24">
        <v>0</v>
      </c>
      <c r="BA182" s="24">
        <v>29991.23</v>
      </c>
      <c r="BB182" s="24">
        <v>0</v>
      </c>
      <c r="BC182" s="24">
        <v>33922.28</v>
      </c>
      <c r="BD182" s="24">
        <v>0</v>
      </c>
      <c r="BE182" s="24">
        <v>20043.47</v>
      </c>
      <c r="BF182" s="24">
        <v>0</v>
      </c>
      <c r="BG182" s="24">
        <v>47787.33</v>
      </c>
      <c r="BH182" s="24">
        <v>0</v>
      </c>
      <c r="BI182" s="24">
        <v>57904.31</v>
      </c>
      <c r="BJ182" s="9">
        <f t="shared" si="74"/>
        <v>0</v>
      </c>
      <c r="BK182" s="9">
        <f t="shared" si="75"/>
        <v>447606.75</v>
      </c>
      <c r="BL182" s="153">
        <f t="shared" si="76"/>
        <v>447606.75</v>
      </c>
      <c r="BM182" s="154"/>
      <c r="BN182" s="154"/>
      <c r="BO182" s="154">
        <v>3170.39</v>
      </c>
      <c r="BP182" s="154">
        <v>49862.97</v>
      </c>
      <c r="BQ182" s="154"/>
      <c r="BR182" s="155">
        <f t="shared" si="67"/>
        <v>500640.11</v>
      </c>
      <c r="BS182" s="198">
        <v>5949.65</v>
      </c>
      <c r="BT182" s="199"/>
      <c r="BU182" s="20">
        <f t="shared" si="68"/>
        <v>223179.15600000005</v>
      </c>
      <c r="BV182" s="231">
        <v>536007.6</v>
      </c>
      <c r="BW182" s="229"/>
      <c r="BX182" s="230"/>
    </row>
    <row r="183" spans="1:76" ht="15.75">
      <c r="A183" s="1">
        <v>176</v>
      </c>
      <c r="B183" s="1" t="s">
        <v>163</v>
      </c>
      <c r="C183" s="1">
        <v>470.6</v>
      </c>
      <c r="D183" s="1">
        <v>0</v>
      </c>
      <c r="E183" s="1">
        <f t="shared" si="78"/>
        <v>470.6</v>
      </c>
      <c r="F183" s="2">
        <v>9.71</v>
      </c>
      <c r="G183" s="2">
        <f t="shared" si="69"/>
        <v>4569.526000000001</v>
      </c>
      <c r="H183" s="2">
        <f t="shared" si="71"/>
        <v>27417.156000000003</v>
      </c>
      <c r="I183" s="2">
        <f t="shared" si="79"/>
        <v>9.71</v>
      </c>
      <c r="J183" s="2">
        <f t="shared" si="57"/>
        <v>4569.526000000001</v>
      </c>
      <c r="K183" s="2">
        <f t="shared" si="72"/>
        <v>27417.156000000003</v>
      </c>
      <c r="L183" s="97">
        <f t="shared" si="77"/>
        <v>54834.312000000005</v>
      </c>
      <c r="M183" s="109">
        <v>3.92</v>
      </c>
      <c r="N183" s="89">
        <f t="shared" si="58"/>
        <v>22137.023999999998</v>
      </c>
      <c r="O183" s="64">
        <v>1.46</v>
      </c>
      <c r="P183" s="90">
        <f t="shared" si="59"/>
        <v>8244.912</v>
      </c>
      <c r="Q183" s="64"/>
      <c r="R183" s="90">
        <f t="shared" si="60"/>
        <v>0</v>
      </c>
      <c r="S183" s="64"/>
      <c r="T183" s="91">
        <f t="shared" si="61"/>
        <v>0</v>
      </c>
      <c r="U183" s="64">
        <v>0</v>
      </c>
      <c r="V183" s="90">
        <f t="shared" si="62"/>
        <v>0</v>
      </c>
      <c r="W183" s="96"/>
      <c r="X183" s="91">
        <f t="shared" si="63"/>
        <v>0</v>
      </c>
      <c r="Y183" s="110">
        <f t="shared" si="64"/>
        <v>30381.935999999998</v>
      </c>
      <c r="Z183" s="32">
        <v>-182138.5</v>
      </c>
      <c r="AA183" s="12">
        <f t="shared" si="65"/>
        <v>-3.3216154877624793</v>
      </c>
      <c r="AB183" s="25">
        <f t="shared" si="66"/>
        <v>-127304.188</v>
      </c>
      <c r="AC183" s="44"/>
      <c r="AD183" s="8">
        <f t="shared" si="73"/>
        <v>-127304.188</v>
      </c>
      <c r="AE183" s="167">
        <v>15360.384000000002</v>
      </c>
      <c r="AF183" s="168">
        <v>0</v>
      </c>
      <c r="AG183" s="168">
        <v>1280.0320000000002</v>
      </c>
      <c r="AH183" s="168">
        <v>0</v>
      </c>
      <c r="AI183" s="168">
        <v>15360.384000000002</v>
      </c>
      <c r="AJ183" s="59" t="s">
        <v>299</v>
      </c>
      <c r="AK183" s="26" t="s">
        <v>352</v>
      </c>
      <c r="AL183" s="45">
        <v>0</v>
      </c>
      <c r="AM183" s="45">
        <v>1284.74</v>
      </c>
      <c r="AN183" s="2">
        <v>0</v>
      </c>
      <c r="AO183" s="2">
        <v>2617.93</v>
      </c>
      <c r="AP183" s="1">
        <v>0</v>
      </c>
      <c r="AQ183" s="1">
        <v>1284.74</v>
      </c>
      <c r="AR183" s="24">
        <v>0</v>
      </c>
      <c r="AS183" s="24">
        <v>18965.29</v>
      </c>
      <c r="AT183" s="1">
        <v>0</v>
      </c>
      <c r="AU183" s="1">
        <v>1284.74</v>
      </c>
      <c r="AV183" s="24">
        <v>0</v>
      </c>
      <c r="AW183" s="24">
        <v>1676.12</v>
      </c>
      <c r="AX183" s="45">
        <v>0</v>
      </c>
      <c r="AY183" s="45">
        <v>1284.74</v>
      </c>
      <c r="AZ183" s="24">
        <v>0</v>
      </c>
      <c r="BA183" s="24">
        <v>1284.74</v>
      </c>
      <c r="BB183" s="24">
        <v>0</v>
      </c>
      <c r="BC183" s="24">
        <v>2784.74</v>
      </c>
      <c r="BD183" s="24">
        <v>0</v>
      </c>
      <c r="BE183" s="24">
        <v>12372.26</v>
      </c>
      <c r="BF183" s="24">
        <v>0</v>
      </c>
      <c r="BG183" s="24">
        <v>9352.86</v>
      </c>
      <c r="BH183" s="24">
        <v>0</v>
      </c>
      <c r="BI183" s="24">
        <v>1284.74</v>
      </c>
      <c r="BJ183" s="9">
        <f t="shared" si="74"/>
        <v>0</v>
      </c>
      <c r="BK183" s="9">
        <f t="shared" si="75"/>
        <v>55477.64000000001</v>
      </c>
      <c r="BL183" s="153">
        <f t="shared" si="76"/>
        <v>55477.64000000001</v>
      </c>
      <c r="BM183" s="154"/>
      <c r="BN183" s="154"/>
      <c r="BO183" s="154"/>
      <c r="BP183" s="154"/>
      <c r="BQ183" s="154"/>
      <c r="BR183" s="155">
        <f t="shared" si="67"/>
        <v>55477.64000000001</v>
      </c>
      <c r="BS183" s="198">
        <v>686.35</v>
      </c>
      <c r="BT183" s="199"/>
      <c r="BU183" s="20">
        <f t="shared" si="68"/>
        <v>-182095.478</v>
      </c>
      <c r="BV183" s="231">
        <v>116947.95</v>
      </c>
      <c r="BW183" s="229"/>
      <c r="BX183" s="230"/>
    </row>
    <row r="184" spans="1:111" s="17" customFormat="1" ht="15.75">
      <c r="A184" s="1">
        <v>177</v>
      </c>
      <c r="B184" s="1" t="s">
        <v>164</v>
      </c>
      <c r="C184" s="1">
        <v>465.4</v>
      </c>
      <c r="D184" s="1">
        <v>0</v>
      </c>
      <c r="E184" s="1">
        <f t="shared" si="78"/>
        <v>465.4</v>
      </c>
      <c r="F184" s="2">
        <v>9.71</v>
      </c>
      <c r="G184" s="2">
        <f t="shared" si="69"/>
        <v>4519.034000000001</v>
      </c>
      <c r="H184" s="2">
        <f t="shared" si="71"/>
        <v>27114.204000000005</v>
      </c>
      <c r="I184" s="2">
        <f t="shared" si="79"/>
        <v>9.71</v>
      </c>
      <c r="J184" s="2">
        <f aca="true" t="shared" si="80" ref="J184:J241">E184*I184</f>
        <v>4519.034000000001</v>
      </c>
      <c r="K184" s="2">
        <f t="shared" si="72"/>
        <v>27114.204000000005</v>
      </c>
      <c r="L184" s="97">
        <f t="shared" si="77"/>
        <v>54228.40800000001</v>
      </c>
      <c r="M184" s="109">
        <v>3.92</v>
      </c>
      <c r="N184" s="89">
        <f t="shared" si="58"/>
        <v>21892.415999999997</v>
      </c>
      <c r="O184" s="64">
        <v>1.46</v>
      </c>
      <c r="P184" s="90">
        <f t="shared" si="59"/>
        <v>8153.807999999999</v>
      </c>
      <c r="Q184" s="64"/>
      <c r="R184" s="90">
        <f t="shared" si="60"/>
        <v>0</v>
      </c>
      <c r="S184" s="64"/>
      <c r="T184" s="91">
        <f t="shared" si="61"/>
        <v>0</v>
      </c>
      <c r="U184" s="64">
        <v>2.48</v>
      </c>
      <c r="V184" s="90">
        <f t="shared" si="62"/>
        <v>13850.304</v>
      </c>
      <c r="W184" s="96"/>
      <c r="X184" s="91">
        <f t="shared" si="63"/>
        <v>0</v>
      </c>
      <c r="Y184" s="110">
        <f t="shared" si="64"/>
        <v>43896.52799999999</v>
      </c>
      <c r="Z184" s="32"/>
      <c r="AA184" s="12">
        <f t="shared" si="65"/>
        <v>0</v>
      </c>
      <c r="AB184" s="25">
        <f t="shared" si="66"/>
        <v>54228.40800000001</v>
      </c>
      <c r="AC184" s="44"/>
      <c r="AD184" s="8">
        <f t="shared" si="73"/>
        <v>54228.40800000001</v>
      </c>
      <c r="AE184" s="167">
        <v>15190.655999999999</v>
      </c>
      <c r="AF184" s="168">
        <v>0</v>
      </c>
      <c r="AG184" s="168">
        <v>4519.034000000001</v>
      </c>
      <c r="AH184" s="168">
        <v>0</v>
      </c>
      <c r="AI184" s="168">
        <v>54228.40800000001</v>
      </c>
      <c r="AJ184" s="59" t="s">
        <v>299</v>
      </c>
      <c r="AK184" s="59"/>
      <c r="AL184" s="45">
        <v>0</v>
      </c>
      <c r="AM184" s="45">
        <v>1270.54</v>
      </c>
      <c r="AN184" s="2">
        <v>0</v>
      </c>
      <c r="AO184" s="2">
        <v>2603.73</v>
      </c>
      <c r="AP184" s="1">
        <v>0</v>
      </c>
      <c r="AQ184" s="1">
        <v>1270.54</v>
      </c>
      <c r="AR184" s="24">
        <v>0</v>
      </c>
      <c r="AS184" s="24">
        <v>4239.41</v>
      </c>
      <c r="AT184" s="1">
        <v>0</v>
      </c>
      <c r="AU184" s="1">
        <v>1270.54</v>
      </c>
      <c r="AV184" s="24">
        <v>0</v>
      </c>
      <c r="AW184" s="24">
        <v>1270.54</v>
      </c>
      <c r="AX184" s="45">
        <v>0</v>
      </c>
      <c r="AY184" s="45">
        <v>1270.54</v>
      </c>
      <c r="AZ184" s="24">
        <v>0</v>
      </c>
      <c r="BA184" s="24">
        <v>1270.54</v>
      </c>
      <c r="BB184" s="24">
        <v>0</v>
      </c>
      <c r="BC184" s="24">
        <v>2350.54</v>
      </c>
      <c r="BD184" s="24">
        <v>0</v>
      </c>
      <c r="BE184" s="24">
        <v>4289.94</v>
      </c>
      <c r="BF184" s="24">
        <v>0</v>
      </c>
      <c r="BG184" s="24">
        <v>5797.94</v>
      </c>
      <c r="BH184" s="24">
        <v>0</v>
      </c>
      <c r="BI184" s="24">
        <v>1270.54</v>
      </c>
      <c r="BJ184" s="9">
        <f t="shared" si="74"/>
        <v>0</v>
      </c>
      <c r="BK184" s="9">
        <f t="shared" si="75"/>
        <v>28175.34</v>
      </c>
      <c r="BL184" s="153">
        <f t="shared" si="76"/>
        <v>28175.34</v>
      </c>
      <c r="BM184" s="154"/>
      <c r="BN184" s="154"/>
      <c r="BO184" s="154"/>
      <c r="BP184" s="154"/>
      <c r="BQ184" s="154"/>
      <c r="BR184" s="155">
        <f t="shared" si="67"/>
        <v>28175.34</v>
      </c>
      <c r="BS184" s="198">
        <v>679.48</v>
      </c>
      <c r="BT184" s="199">
        <v>13836</v>
      </c>
      <c r="BU184" s="20">
        <f t="shared" si="68"/>
        <v>26732.54800000001</v>
      </c>
      <c r="BV184" s="231">
        <v>6130.07</v>
      </c>
      <c r="BW184" s="229"/>
      <c r="BX184" s="230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</row>
    <row r="185" spans="1:76" ht="15.75">
      <c r="A185" s="1">
        <v>178</v>
      </c>
      <c r="B185" s="1" t="s">
        <v>165</v>
      </c>
      <c r="C185" s="1">
        <v>458.4</v>
      </c>
      <c r="D185" s="1">
        <v>0</v>
      </c>
      <c r="E185" s="1">
        <f t="shared" si="78"/>
        <v>458.4</v>
      </c>
      <c r="F185" s="2">
        <v>13.78</v>
      </c>
      <c r="G185" s="2">
        <f t="shared" si="69"/>
        <v>6316.7519999999995</v>
      </c>
      <c r="H185" s="2">
        <f t="shared" si="71"/>
        <v>37900.511999999995</v>
      </c>
      <c r="I185" s="2">
        <f t="shared" si="79"/>
        <v>13.78</v>
      </c>
      <c r="J185" s="2">
        <f t="shared" si="80"/>
        <v>6316.7519999999995</v>
      </c>
      <c r="K185" s="2">
        <f t="shared" si="72"/>
        <v>37900.511999999995</v>
      </c>
      <c r="L185" s="97">
        <f t="shared" si="77"/>
        <v>75801.02399999999</v>
      </c>
      <c r="M185" s="109">
        <v>3.92</v>
      </c>
      <c r="N185" s="89">
        <f aca="true" t="shared" si="81" ref="N185:N242">E185*M185*12</f>
        <v>21563.136</v>
      </c>
      <c r="O185" s="64">
        <v>1.46</v>
      </c>
      <c r="P185" s="90">
        <f aca="true" t="shared" si="82" ref="P185:P242">E185*O185*12</f>
        <v>8031.167999999999</v>
      </c>
      <c r="Q185" s="64"/>
      <c r="R185" s="90">
        <f aca="true" t="shared" si="83" ref="R185:R242">E185*Q185*12</f>
        <v>0</v>
      </c>
      <c r="S185" s="64"/>
      <c r="T185" s="91">
        <f aca="true" t="shared" si="84" ref="T185:T242">E185*S185*12</f>
        <v>0</v>
      </c>
      <c r="U185" s="64">
        <v>0</v>
      </c>
      <c r="V185" s="90">
        <f aca="true" t="shared" si="85" ref="V185:V242">E185*U185*12</f>
        <v>0</v>
      </c>
      <c r="W185" s="96"/>
      <c r="X185" s="91">
        <f aca="true" t="shared" si="86" ref="X185:X242">E185*W185*12</f>
        <v>0</v>
      </c>
      <c r="Y185" s="110">
        <f t="shared" si="64"/>
        <v>29594.303999999996</v>
      </c>
      <c r="Z185" s="32">
        <v>-71716.27</v>
      </c>
      <c r="AA185" s="12">
        <f aca="true" t="shared" si="87" ref="AA185:AA242">Z185/L185</f>
        <v>-0.9461121527856934</v>
      </c>
      <c r="AB185" s="25">
        <f aca="true" t="shared" si="88" ref="AB185:AB242">L185+Z185</f>
        <v>4084.7539999999863</v>
      </c>
      <c r="AC185" s="44"/>
      <c r="AD185" s="8">
        <f t="shared" si="73"/>
        <v>4084.7539999999863</v>
      </c>
      <c r="AE185" s="167">
        <v>14962.176</v>
      </c>
      <c r="AF185" s="168">
        <v>0</v>
      </c>
      <c r="AG185" s="168">
        <v>340.3961666666655</v>
      </c>
      <c r="AH185" s="168">
        <v>0</v>
      </c>
      <c r="AI185" s="168">
        <v>4084.7539999999863</v>
      </c>
      <c r="AJ185" s="59" t="s">
        <v>296</v>
      </c>
      <c r="AK185" s="58"/>
      <c r="AL185" s="45">
        <v>0</v>
      </c>
      <c r="AM185" s="45">
        <v>1251.43</v>
      </c>
      <c r="AN185" s="2">
        <v>0</v>
      </c>
      <c r="AO185" s="2">
        <v>14419.87</v>
      </c>
      <c r="AP185" s="1">
        <v>0</v>
      </c>
      <c r="AQ185" s="1">
        <v>56600.71</v>
      </c>
      <c r="AR185" s="24">
        <v>0</v>
      </c>
      <c r="AS185" s="24">
        <v>4220.3</v>
      </c>
      <c r="AT185" s="1">
        <v>0</v>
      </c>
      <c r="AU185" s="1">
        <v>1251.43</v>
      </c>
      <c r="AV185" s="24">
        <v>0</v>
      </c>
      <c r="AW185" s="24">
        <v>3609.82</v>
      </c>
      <c r="AX185" s="45">
        <v>0</v>
      </c>
      <c r="AY185" s="45">
        <v>3523.04</v>
      </c>
      <c r="AZ185" s="24">
        <v>0</v>
      </c>
      <c r="BA185" s="24">
        <v>3128.25</v>
      </c>
      <c r="BB185" s="24">
        <v>0</v>
      </c>
      <c r="BC185" s="24">
        <v>20365.34</v>
      </c>
      <c r="BD185" s="24">
        <v>0</v>
      </c>
      <c r="BE185" s="24">
        <v>6382.25</v>
      </c>
      <c r="BF185" s="24">
        <v>0</v>
      </c>
      <c r="BG185" s="24">
        <v>4270.83</v>
      </c>
      <c r="BH185" s="24">
        <v>0</v>
      </c>
      <c r="BI185" s="24">
        <v>2346.43</v>
      </c>
      <c r="BJ185" s="9">
        <f t="shared" si="74"/>
        <v>0</v>
      </c>
      <c r="BK185" s="9">
        <f t="shared" si="75"/>
        <v>121369.69999999998</v>
      </c>
      <c r="BL185" s="153">
        <f t="shared" si="76"/>
        <v>121369.69999999998</v>
      </c>
      <c r="BM185" s="154"/>
      <c r="BN185" s="154"/>
      <c r="BO185" s="154"/>
      <c r="BP185" s="154"/>
      <c r="BQ185" s="154"/>
      <c r="BR185" s="155">
        <f t="shared" si="67"/>
        <v>121369.69999999998</v>
      </c>
      <c r="BS185" s="198">
        <v>669.26</v>
      </c>
      <c r="BT185" s="199"/>
      <c r="BU185" s="20">
        <f t="shared" si="68"/>
        <v>-116615.686</v>
      </c>
      <c r="BV185" s="231">
        <v>14369.77</v>
      </c>
      <c r="BW185" s="229"/>
      <c r="BX185" s="230"/>
    </row>
    <row r="186" spans="1:76" ht="15.75">
      <c r="A186" s="1">
        <v>179</v>
      </c>
      <c r="B186" s="1" t="s">
        <v>166</v>
      </c>
      <c r="C186" s="1">
        <v>452.2</v>
      </c>
      <c r="D186" s="1">
        <v>0</v>
      </c>
      <c r="E186" s="1">
        <f t="shared" si="78"/>
        <v>452.2</v>
      </c>
      <c r="F186" s="2">
        <v>13.78</v>
      </c>
      <c r="G186" s="2">
        <f t="shared" si="69"/>
        <v>6231.316</v>
      </c>
      <c r="H186" s="2">
        <f t="shared" si="71"/>
        <v>37387.896</v>
      </c>
      <c r="I186" s="2">
        <f t="shared" si="79"/>
        <v>13.78</v>
      </c>
      <c r="J186" s="2">
        <f t="shared" si="80"/>
        <v>6231.316</v>
      </c>
      <c r="K186" s="2">
        <f t="shared" si="72"/>
        <v>37387.896</v>
      </c>
      <c r="L186" s="97">
        <f t="shared" si="77"/>
        <v>74775.792</v>
      </c>
      <c r="M186" s="109">
        <v>3.92</v>
      </c>
      <c r="N186" s="89">
        <f t="shared" si="81"/>
        <v>21271.488</v>
      </c>
      <c r="O186" s="64">
        <v>1.46</v>
      </c>
      <c r="P186" s="90">
        <f t="shared" si="82"/>
        <v>7922.544</v>
      </c>
      <c r="Q186" s="64"/>
      <c r="R186" s="90">
        <f t="shared" si="83"/>
        <v>0</v>
      </c>
      <c r="S186" s="64"/>
      <c r="T186" s="91">
        <f t="shared" si="84"/>
        <v>0</v>
      </c>
      <c r="U186" s="64">
        <v>0</v>
      </c>
      <c r="V186" s="90">
        <f t="shared" si="85"/>
        <v>0</v>
      </c>
      <c r="W186" s="96"/>
      <c r="X186" s="91">
        <f t="shared" si="86"/>
        <v>0</v>
      </c>
      <c r="Y186" s="110">
        <f aca="true" t="shared" si="89" ref="Y186:Y243">N186+P186+R186+T186+V186+X186</f>
        <v>29194.032</v>
      </c>
      <c r="Z186" s="32">
        <v>-43173.67</v>
      </c>
      <c r="AA186" s="12">
        <f t="shared" si="87"/>
        <v>-0.5773749611371551</v>
      </c>
      <c r="AB186" s="25">
        <f t="shared" si="88"/>
        <v>31602.122000000003</v>
      </c>
      <c r="AC186" s="44"/>
      <c r="AD186" s="8">
        <f t="shared" si="73"/>
        <v>31602.122000000003</v>
      </c>
      <c r="AE186" s="167">
        <v>17519.808</v>
      </c>
      <c r="AF186" s="168">
        <v>0</v>
      </c>
      <c r="AG186" s="168">
        <v>2633.510166666667</v>
      </c>
      <c r="AH186" s="168">
        <v>0</v>
      </c>
      <c r="AI186" s="168">
        <v>31602.122000000003</v>
      </c>
      <c r="AJ186" s="59" t="s">
        <v>296</v>
      </c>
      <c r="AK186" s="59"/>
      <c r="AL186" s="45">
        <v>0</v>
      </c>
      <c r="AM186" s="45">
        <v>1464.51</v>
      </c>
      <c r="AN186" s="2">
        <v>0</v>
      </c>
      <c r="AO186" s="2">
        <v>2797.7</v>
      </c>
      <c r="AP186" s="1">
        <v>0</v>
      </c>
      <c r="AQ186" s="1">
        <v>1464.51</v>
      </c>
      <c r="AR186" s="24">
        <v>0</v>
      </c>
      <c r="AS186" s="24">
        <v>4433.38</v>
      </c>
      <c r="AT186" s="1">
        <v>0</v>
      </c>
      <c r="AU186" s="1">
        <v>1464.51</v>
      </c>
      <c r="AV186" s="24">
        <v>0</v>
      </c>
      <c r="AW186" s="24">
        <v>3483.4</v>
      </c>
      <c r="AX186" s="45">
        <v>0</v>
      </c>
      <c r="AY186" s="45">
        <v>30790.68</v>
      </c>
      <c r="AZ186" s="24">
        <v>0</v>
      </c>
      <c r="BA186" s="24">
        <v>3341.33</v>
      </c>
      <c r="BB186" s="24">
        <v>0</v>
      </c>
      <c r="BC186" s="24">
        <v>6021.01</v>
      </c>
      <c r="BD186" s="24">
        <v>0</v>
      </c>
      <c r="BE186" s="24">
        <v>6595.33</v>
      </c>
      <c r="BF186" s="24">
        <v>0</v>
      </c>
      <c r="BG186" s="24">
        <v>5991.91</v>
      </c>
      <c r="BH186" s="24">
        <v>0</v>
      </c>
      <c r="BI186" s="24">
        <v>5223.88</v>
      </c>
      <c r="BJ186" s="9">
        <f t="shared" si="74"/>
        <v>0</v>
      </c>
      <c r="BK186" s="9">
        <f t="shared" si="75"/>
        <v>73072.15000000001</v>
      </c>
      <c r="BL186" s="153">
        <f t="shared" si="76"/>
        <v>73072.15000000001</v>
      </c>
      <c r="BM186" s="154"/>
      <c r="BN186" s="154">
        <v>134465.18</v>
      </c>
      <c r="BO186" s="154"/>
      <c r="BP186" s="154"/>
      <c r="BQ186" s="154"/>
      <c r="BR186" s="155">
        <f t="shared" si="67"/>
        <v>207537.33000000002</v>
      </c>
      <c r="BS186" s="198">
        <v>660.21</v>
      </c>
      <c r="BT186" s="199"/>
      <c r="BU186" s="20">
        <f aca="true" t="shared" si="90" ref="BU186:BU243">AB186-BR186+BS186</f>
        <v>-175274.99800000002</v>
      </c>
      <c r="BV186" s="231">
        <v>112023.64</v>
      </c>
      <c r="BW186" s="229"/>
      <c r="BX186" s="230"/>
    </row>
    <row r="187" spans="1:76" ht="15.75">
      <c r="A187" s="1">
        <v>180</v>
      </c>
      <c r="B187" s="1" t="s">
        <v>167</v>
      </c>
      <c r="C187" s="1">
        <v>4870.43</v>
      </c>
      <c r="D187" s="1">
        <v>0</v>
      </c>
      <c r="E187" s="1">
        <f t="shared" si="78"/>
        <v>4870.43</v>
      </c>
      <c r="F187" s="2">
        <v>15.87</v>
      </c>
      <c r="G187" s="2">
        <f t="shared" si="69"/>
        <v>77293.7241</v>
      </c>
      <c r="H187" s="2">
        <f t="shared" si="71"/>
        <v>463762.34460000007</v>
      </c>
      <c r="I187" s="2">
        <f t="shared" si="79"/>
        <v>15.87</v>
      </c>
      <c r="J187" s="2">
        <f t="shared" si="80"/>
        <v>77293.7241</v>
      </c>
      <c r="K187" s="2">
        <f t="shared" si="72"/>
        <v>463762.34460000007</v>
      </c>
      <c r="L187" s="97">
        <f t="shared" si="77"/>
        <v>927524.6892000001</v>
      </c>
      <c r="M187" s="109">
        <v>3.92</v>
      </c>
      <c r="N187" s="89">
        <f t="shared" si="81"/>
        <v>229105.0272</v>
      </c>
      <c r="O187" s="64">
        <v>1.46</v>
      </c>
      <c r="P187" s="90">
        <f t="shared" si="82"/>
        <v>85329.9336</v>
      </c>
      <c r="Q187" s="64"/>
      <c r="R187" s="90">
        <f t="shared" si="83"/>
        <v>0</v>
      </c>
      <c r="S187" s="64"/>
      <c r="T187" s="91">
        <f t="shared" si="84"/>
        <v>0</v>
      </c>
      <c r="U187" s="64">
        <v>0.38</v>
      </c>
      <c r="V187" s="90">
        <f t="shared" si="85"/>
        <v>22209.1608</v>
      </c>
      <c r="W187" s="96"/>
      <c r="X187" s="91">
        <f t="shared" si="86"/>
        <v>0</v>
      </c>
      <c r="Y187" s="110">
        <f t="shared" si="89"/>
        <v>336644.1216</v>
      </c>
      <c r="Z187" s="32">
        <v>-7832.65</v>
      </c>
      <c r="AA187" s="12">
        <f t="shared" si="87"/>
        <v>-0.00844468087071164</v>
      </c>
      <c r="AB187" s="25">
        <f t="shared" si="88"/>
        <v>919692.0392000001</v>
      </c>
      <c r="AC187" s="44"/>
      <c r="AD187" s="8">
        <f t="shared" si="73"/>
        <v>919692.0392000001</v>
      </c>
      <c r="AE187" s="167">
        <v>317194.96080000006</v>
      </c>
      <c r="AF187" s="168">
        <v>44551.856681087345</v>
      </c>
      <c r="AG187" s="168">
        <v>32089.146585579332</v>
      </c>
      <c r="AH187" s="168">
        <v>534622.2801730481</v>
      </c>
      <c r="AI187" s="168">
        <v>385069.759026952</v>
      </c>
      <c r="AJ187" s="59"/>
      <c r="AK187" s="59"/>
      <c r="AL187" s="45">
        <v>78750.58</v>
      </c>
      <c r="AM187" s="45">
        <v>36285.01</v>
      </c>
      <c r="AN187" s="2">
        <v>145154.41</v>
      </c>
      <c r="AO187" s="2">
        <v>28921.71</v>
      </c>
      <c r="AP187" s="1">
        <v>13142.57</v>
      </c>
      <c r="AQ187" s="1">
        <v>14241.91</v>
      </c>
      <c r="AR187" s="24">
        <v>12335.45</v>
      </c>
      <c r="AS187" s="24">
        <v>21349.46</v>
      </c>
      <c r="AT187" s="1">
        <v>20212.28</v>
      </c>
      <c r="AU187" s="1">
        <v>14504.78</v>
      </c>
      <c r="AV187" s="24">
        <v>68525.39</v>
      </c>
      <c r="AW187" s="24">
        <v>33279.37</v>
      </c>
      <c r="AX187" s="45">
        <v>23249.78</v>
      </c>
      <c r="AY187" s="45">
        <v>17675.27</v>
      </c>
      <c r="AZ187" s="24">
        <v>22179.91</v>
      </c>
      <c r="BA187" s="24">
        <v>38501.75</v>
      </c>
      <c r="BB187" s="24">
        <v>22321.3</v>
      </c>
      <c r="BC187" s="24">
        <v>22488.61</v>
      </c>
      <c r="BD187" s="24">
        <v>13138.46</v>
      </c>
      <c r="BE187" s="24">
        <v>15941.79</v>
      </c>
      <c r="BF187" s="24">
        <v>14321.24</v>
      </c>
      <c r="BG187" s="24">
        <v>29292.65</v>
      </c>
      <c r="BH187" s="24">
        <v>27533.43</v>
      </c>
      <c r="BI187" s="24">
        <v>13526.27</v>
      </c>
      <c r="BJ187" s="9">
        <f t="shared" si="74"/>
        <v>460864.80000000005</v>
      </c>
      <c r="BK187" s="9">
        <f t="shared" si="75"/>
        <v>286008.58</v>
      </c>
      <c r="BL187" s="153">
        <f t="shared" si="76"/>
        <v>746873.3800000001</v>
      </c>
      <c r="BM187" s="154"/>
      <c r="BN187" s="154">
        <f>29500+86000+29500+31480.41+36400</f>
        <v>212880.41</v>
      </c>
      <c r="BO187" s="154"/>
      <c r="BP187" s="154"/>
      <c r="BQ187" s="154"/>
      <c r="BR187" s="155">
        <f aca="true" t="shared" si="91" ref="BR187:BR244">BL187+BM187+BN187+BO187+BQ187+BP187</f>
        <v>959753.7900000002</v>
      </c>
      <c r="BS187" s="198">
        <v>7111.51</v>
      </c>
      <c r="BT187" s="199"/>
      <c r="BU187" s="20">
        <f t="shared" si="90"/>
        <v>-32950.240800000036</v>
      </c>
      <c r="BV187" s="231">
        <v>632875.96</v>
      </c>
      <c r="BW187" s="229"/>
      <c r="BX187" s="230"/>
    </row>
    <row r="188" spans="1:76" ht="15.75">
      <c r="A188" s="1">
        <v>181</v>
      </c>
      <c r="B188" s="1" t="s">
        <v>168</v>
      </c>
      <c r="C188" s="1">
        <v>753.3</v>
      </c>
      <c r="D188" s="1">
        <v>0</v>
      </c>
      <c r="E188" s="1">
        <f t="shared" si="78"/>
        <v>753.3</v>
      </c>
      <c r="F188" s="2">
        <v>13.78</v>
      </c>
      <c r="G188" s="2">
        <f t="shared" si="69"/>
        <v>10380.473999999998</v>
      </c>
      <c r="H188" s="2">
        <f t="shared" si="71"/>
        <v>62282.84399999999</v>
      </c>
      <c r="I188" s="2">
        <f t="shared" si="79"/>
        <v>13.78</v>
      </c>
      <c r="J188" s="2">
        <f t="shared" si="80"/>
        <v>10380.473999999998</v>
      </c>
      <c r="K188" s="2">
        <f t="shared" si="72"/>
        <v>62282.84399999999</v>
      </c>
      <c r="L188" s="97">
        <f t="shared" si="77"/>
        <v>124565.68799999998</v>
      </c>
      <c r="M188" s="109">
        <v>3.92</v>
      </c>
      <c r="N188" s="89">
        <f t="shared" si="81"/>
        <v>35435.231999999996</v>
      </c>
      <c r="O188" s="64">
        <v>1.46</v>
      </c>
      <c r="P188" s="90">
        <f t="shared" si="82"/>
        <v>13197.815999999999</v>
      </c>
      <c r="Q188" s="64"/>
      <c r="R188" s="90">
        <f t="shared" si="83"/>
        <v>0</v>
      </c>
      <c r="S188" s="64"/>
      <c r="T188" s="91">
        <f t="shared" si="84"/>
        <v>0</v>
      </c>
      <c r="U188" s="64">
        <v>0</v>
      </c>
      <c r="V188" s="90">
        <f t="shared" si="85"/>
        <v>0</v>
      </c>
      <c r="W188" s="96"/>
      <c r="X188" s="91">
        <f t="shared" si="86"/>
        <v>0</v>
      </c>
      <c r="Y188" s="110">
        <f t="shared" si="89"/>
        <v>48633.047999999995</v>
      </c>
      <c r="Z188" s="32"/>
      <c r="AA188" s="12">
        <f t="shared" si="87"/>
        <v>0</v>
      </c>
      <c r="AB188" s="25">
        <f t="shared" si="88"/>
        <v>124565.68799999998</v>
      </c>
      <c r="AC188" s="44"/>
      <c r="AD188" s="8">
        <f t="shared" si="73"/>
        <v>124565.68799999998</v>
      </c>
      <c r="AE188" s="167">
        <v>30107.712</v>
      </c>
      <c r="AF188" s="168">
        <v>0</v>
      </c>
      <c r="AG188" s="168">
        <v>10380.473999999998</v>
      </c>
      <c r="AH188" s="168">
        <v>0</v>
      </c>
      <c r="AI188" s="168">
        <v>124565.68799999998</v>
      </c>
      <c r="AJ188" s="59" t="s">
        <v>296</v>
      </c>
      <c r="AK188" s="59"/>
      <c r="AL188" s="45">
        <v>0</v>
      </c>
      <c r="AM188" s="45">
        <v>2516.51</v>
      </c>
      <c r="AN188" s="2">
        <v>0</v>
      </c>
      <c r="AO188" s="2">
        <v>11646.54</v>
      </c>
      <c r="AP188" s="1">
        <v>0</v>
      </c>
      <c r="AQ188" s="1">
        <v>2516.51</v>
      </c>
      <c r="AR188" s="24">
        <v>0</v>
      </c>
      <c r="AS188" s="24">
        <v>5485.38</v>
      </c>
      <c r="AT188" s="1">
        <v>0</v>
      </c>
      <c r="AU188" s="1">
        <v>25585.23</v>
      </c>
      <c r="AV188" s="24">
        <v>0</v>
      </c>
      <c r="AW188" s="24">
        <v>4878.4</v>
      </c>
      <c r="AX188" s="45">
        <v>0</v>
      </c>
      <c r="AY188" s="45">
        <v>2948.51</v>
      </c>
      <c r="AZ188" s="24">
        <v>0</v>
      </c>
      <c r="BA188" s="24">
        <v>4393.33</v>
      </c>
      <c r="BB188" s="24">
        <v>0</v>
      </c>
      <c r="BC188" s="24">
        <v>20349.18</v>
      </c>
      <c r="BD188" s="24">
        <v>0</v>
      </c>
      <c r="BE188" s="24">
        <v>7647.33</v>
      </c>
      <c r="BF188" s="24">
        <v>0</v>
      </c>
      <c r="BG188" s="24">
        <v>8891.84</v>
      </c>
      <c r="BH188" s="24">
        <v>0</v>
      </c>
      <c r="BI188" s="24">
        <v>3516.51</v>
      </c>
      <c r="BJ188" s="9">
        <f t="shared" si="74"/>
        <v>0</v>
      </c>
      <c r="BK188" s="9">
        <f t="shared" si="75"/>
        <v>100375.26999999999</v>
      </c>
      <c r="BL188" s="153">
        <f t="shared" si="76"/>
        <v>100375.26999999999</v>
      </c>
      <c r="BM188" s="154"/>
      <c r="BN188" s="154"/>
      <c r="BO188" s="154"/>
      <c r="BP188" s="154"/>
      <c r="BQ188" s="154"/>
      <c r="BR188" s="155">
        <f t="shared" si="91"/>
        <v>100375.26999999999</v>
      </c>
      <c r="BS188" s="198">
        <v>1099.82</v>
      </c>
      <c r="BT188" s="199"/>
      <c r="BU188" s="20">
        <f t="shared" si="90"/>
        <v>25290.23799999999</v>
      </c>
      <c r="BV188" s="231">
        <v>91738.22</v>
      </c>
      <c r="BW188" s="229"/>
      <c r="BX188" s="230"/>
    </row>
    <row r="189" spans="1:76" ht="15.75">
      <c r="A189" s="1">
        <v>182</v>
      </c>
      <c r="B189" s="1" t="s">
        <v>169</v>
      </c>
      <c r="C189" s="1">
        <v>1015.2</v>
      </c>
      <c r="D189" s="1">
        <v>480.6</v>
      </c>
      <c r="E189" s="1">
        <f t="shared" si="78"/>
        <v>1495.8000000000002</v>
      </c>
      <c r="F189" s="2">
        <v>13.78</v>
      </c>
      <c r="G189" s="2">
        <f t="shared" si="69"/>
        <v>20612.124</v>
      </c>
      <c r="H189" s="2">
        <f t="shared" si="71"/>
        <v>123672.744</v>
      </c>
      <c r="I189" s="2">
        <f t="shared" si="79"/>
        <v>13.78</v>
      </c>
      <c r="J189" s="2">
        <f t="shared" si="80"/>
        <v>20612.124</v>
      </c>
      <c r="K189" s="2">
        <f t="shared" si="72"/>
        <v>123672.744</v>
      </c>
      <c r="L189" s="97">
        <f t="shared" si="77"/>
        <v>247345.488</v>
      </c>
      <c r="M189" s="109">
        <v>3.92</v>
      </c>
      <c r="N189" s="89">
        <f t="shared" si="81"/>
        <v>70362.43200000002</v>
      </c>
      <c r="O189" s="64">
        <v>1.46</v>
      </c>
      <c r="P189" s="90">
        <f t="shared" si="82"/>
        <v>26206.416000000005</v>
      </c>
      <c r="Q189" s="64"/>
      <c r="R189" s="90">
        <f t="shared" si="83"/>
        <v>0</v>
      </c>
      <c r="S189" s="64"/>
      <c r="T189" s="91">
        <f t="shared" si="84"/>
        <v>0</v>
      </c>
      <c r="U189" s="64">
        <v>0</v>
      </c>
      <c r="V189" s="90">
        <f t="shared" si="85"/>
        <v>0</v>
      </c>
      <c r="W189" s="96"/>
      <c r="X189" s="91">
        <f t="shared" si="86"/>
        <v>0</v>
      </c>
      <c r="Y189" s="110">
        <f t="shared" si="89"/>
        <v>96568.84800000003</v>
      </c>
      <c r="Z189" s="32">
        <v>-61790.85</v>
      </c>
      <c r="AA189" s="12">
        <f t="shared" si="87"/>
        <v>-0.24981595783141997</v>
      </c>
      <c r="AB189" s="25">
        <f t="shared" si="88"/>
        <v>185554.638</v>
      </c>
      <c r="AC189" s="44"/>
      <c r="AD189" s="8">
        <f t="shared" si="73"/>
        <v>185554.638</v>
      </c>
      <c r="AE189" s="167">
        <v>48822.912</v>
      </c>
      <c r="AF189" s="168">
        <v>0</v>
      </c>
      <c r="AG189" s="168">
        <v>15462.8865</v>
      </c>
      <c r="AH189" s="168">
        <v>0</v>
      </c>
      <c r="AI189" s="168">
        <v>185554.638</v>
      </c>
      <c r="AJ189" s="59" t="s">
        <v>296</v>
      </c>
      <c r="AK189" s="59"/>
      <c r="AL189" s="45">
        <v>0</v>
      </c>
      <c r="AM189" s="45">
        <v>21512.68</v>
      </c>
      <c r="AN189" s="2">
        <v>0</v>
      </c>
      <c r="AO189" s="2">
        <v>11173.22</v>
      </c>
      <c r="AP189" s="1">
        <v>0</v>
      </c>
      <c r="AQ189" s="1">
        <v>12298.92</v>
      </c>
      <c r="AR189" s="24">
        <v>0</v>
      </c>
      <c r="AS189" s="24">
        <v>18621.48</v>
      </c>
      <c r="AT189" s="1">
        <v>0</v>
      </c>
      <c r="AU189" s="1">
        <v>4083.53</v>
      </c>
      <c r="AV189" s="24">
        <v>0</v>
      </c>
      <c r="AW189" s="24">
        <v>6182.92</v>
      </c>
      <c r="AX189" s="45">
        <v>0</v>
      </c>
      <c r="AY189" s="45">
        <v>4771.92</v>
      </c>
      <c r="AZ189" s="24">
        <v>0</v>
      </c>
      <c r="BA189" s="24">
        <v>7834.16</v>
      </c>
      <c r="BB189" s="24">
        <v>0</v>
      </c>
      <c r="BC189" s="24">
        <v>98473.01</v>
      </c>
      <c r="BD189" s="24">
        <v>0</v>
      </c>
      <c r="BE189" s="24">
        <v>18598.43</v>
      </c>
      <c r="BF189" s="24">
        <v>0</v>
      </c>
      <c r="BG189" s="24">
        <v>18266.53</v>
      </c>
      <c r="BH189" s="24">
        <v>0</v>
      </c>
      <c r="BI189" s="24">
        <v>32844.15</v>
      </c>
      <c r="BJ189" s="9">
        <f t="shared" si="74"/>
        <v>0</v>
      </c>
      <c r="BK189" s="9">
        <f t="shared" si="75"/>
        <v>254660.94999999998</v>
      </c>
      <c r="BL189" s="153">
        <f t="shared" si="76"/>
        <v>254660.94999999998</v>
      </c>
      <c r="BM189" s="154"/>
      <c r="BN189" s="154">
        <v>26000</v>
      </c>
      <c r="BO189" s="154"/>
      <c r="BP189" s="154"/>
      <c r="BQ189" s="154"/>
      <c r="BR189" s="155">
        <f t="shared" si="91"/>
        <v>280660.94999999995</v>
      </c>
      <c r="BS189" s="198">
        <v>2180.07</v>
      </c>
      <c r="BT189" s="199"/>
      <c r="BU189" s="20">
        <f t="shared" si="90"/>
        <v>-92926.24199999994</v>
      </c>
      <c r="BV189" s="231">
        <v>18642.86</v>
      </c>
      <c r="BW189" s="229"/>
      <c r="BX189" s="230"/>
    </row>
    <row r="190" spans="1:76" ht="15.75">
      <c r="A190" s="1">
        <v>183</v>
      </c>
      <c r="B190" s="1" t="s">
        <v>170</v>
      </c>
      <c r="C190" s="1">
        <v>5673</v>
      </c>
      <c r="D190" s="1">
        <v>157.5</v>
      </c>
      <c r="E190" s="1">
        <f t="shared" si="78"/>
        <v>5830.5</v>
      </c>
      <c r="F190" s="2">
        <v>15.87</v>
      </c>
      <c r="G190" s="2">
        <f t="shared" si="69"/>
        <v>92530.03499999999</v>
      </c>
      <c r="H190" s="2">
        <f t="shared" si="71"/>
        <v>555180.21</v>
      </c>
      <c r="I190" s="2">
        <f t="shared" si="79"/>
        <v>15.87</v>
      </c>
      <c r="J190" s="2">
        <f t="shared" si="80"/>
        <v>92530.03499999999</v>
      </c>
      <c r="K190" s="2">
        <f t="shared" si="72"/>
        <v>555180.21</v>
      </c>
      <c r="L190" s="97">
        <f t="shared" si="77"/>
        <v>1110360.42</v>
      </c>
      <c r="M190" s="109">
        <v>3.92</v>
      </c>
      <c r="N190" s="89">
        <f t="shared" si="81"/>
        <v>274266.72000000003</v>
      </c>
      <c r="O190" s="64">
        <v>1.46</v>
      </c>
      <c r="P190" s="90">
        <f t="shared" si="82"/>
        <v>102150.36000000002</v>
      </c>
      <c r="Q190" s="64"/>
      <c r="R190" s="90">
        <f t="shared" si="83"/>
        <v>0</v>
      </c>
      <c r="S190" s="64"/>
      <c r="T190" s="91">
        <f t="shared" si="84"/>
        <v>0</v>
      </c>
      <c r="U190" s="64">
        <v>0.32</v>
      </c>
      <c r="V190" s="90">
        <f t="shared" si="85"/>
        <v>22389.12</v>
      </c>
      <c r="W190" s="96"/>
      <c r="X190" s="91">
        <f t="shared" si="86"/>
        <v>0</v>
      </c>
      <c r="Y190" s="110">
        <f t="shared" si="89"/>
        <v>398806.20000000007</v>
      </c>
      <c r="Z190" s="32"/>
      <c r="AA190" s="12">
        <f t="shared" si="87"/>
        <v>0</v>
      </c>
      <c r="AB190" s="25">
        <f t="shared" si="88"/>
        <v>1110360.42</v>
      </c>
      <c r="AC190" s="44"/>
      <c r="AD190" s="8">
        <f t="shared" si="73"/>
        <v>1110360.42</v>
      </c>
      <c r="AE190" s="167">
        <v>381937.0800000001</v>
      </c>
      <c r="AF190" s="168">
        <v>54045.5719801085</v>
      </c>
      <c r="AG190" s="168">
        <v>38484.4630198915</v>
      </c>
      <c r="AH190" s="168">
        <v>648546.863761302</v>
      </c>
      <c r="AI190" s="168">
        <v>461813.55623869796</v>
      </c>
      <c r="AJ190" s="59"/>
      <c r="AK190" s="59"/>
      <c r="AL190" s="45">
        <v>11371.62</v>
      </c>
      <c r="AM190" s="45">
        <v>18315.61</v>
      </c>
      <c r="AN190" s="2">
        <v>59021.26</v>
      </c>
      <c r="AO190" s="2">
        <v>30423.97</v>
      </c>
      <c r="AP190" s="1">
        <v>124748.65</v>
      </c>
      <c r="AQ190" s="1">
        <v>19575.02</v>
      </c>
      <c r="AR190" s="24">
        <v>17608.18</v>
      </c>
      <c r="AS190" s="24">
        <v>17656.27</v>
      </c>
      <c r="AT190" s="1">
        <v>90201.45</v>
      </c>
      <c r="AU190" s="1">
        <v>38308.23</v>
      </c>
      <c r="AV190" s="24">
        <v>60046.59</v>
      </c>
      <c r="AW190" s="24">
        <v>52906.33</v>
      </c>
      <c r="AX190" s="45">
        <v>38733.27</v>
      </c>
      <c r="AY190" s="45">
        <v>63698.51</v>
      </c>
      <c r="AZ190" s="24">
        <v>46229.74</v>
      </c>
      <c r="BA190" s="24">
        <v>34670.73</v>
      </c>
      <c r="BB190" s="24">
        <v>66664.25</v>
      </c>
      <c r="BC190" s="24">
        <v>42269.66</v>
      </c>
      <c r="BD190" s="24">
        <v>100382.31</v>
      </c>
      <c r="BE190" s="24">
        <v>88221.74</v>
      </c>
      <c r="BF190" s="24">
        <v>60572.06</v>
      </c>
      <c r="BG190" s="24">
        <v>33220.09</v>
      </c>
      <c r="BH190" s="24">
        <v>50385.1</v>
      </c>
      <c r="BI190" s="24">
        <v>43163.05</v>
      </c>
      <c r="BJ190" s="9">
        <f t="shared" si="74"/>
        <v>725964.4800000001</v>
      </c>
      <c r="BK190" s="9">
        <f t="shared" si="75"/>
        <v>482429.2099999999</v>
      </c>
      <c r="BL190" s="153">
        <f t="shared" si="76"/>
        <v>1208393.69</v>
      </c>
      <c r="BM190" s="154">
        <v>2547</v>
      </c>
      <c r="BN190" s="154">
        <f>(210001.07-16118.05)+131986.46+22287.4+112100+112600</f>
        <v>572856.88</v>
      </c>
      <c r="BO190" s="154"/>
      <c r="BP190" s="154"/>
      <c r="BQ190" s="154"/>
      <c r="BR190" s="155">
        <f t="shared" si="91"/>
        <v>1783797.5699999998</v>
      </c>
      <c r="BS190" s="198">
        <v>8498.66</v>
      </c>
      <c r="BT190" s="199">
        <v>4128</v>
      </c>
      <c r="BU190" s="20">
        <f t="shared" si="90"/>
        <v>-664938.4899999999</v>
      </c>
      <c r="BV190" s="231">
        <v>612531.01</v>
      </c>
      <c r="BW190" s="229"/>
      <c r="BX190" s="230"/>
    </row>
    <row r="191" spans="1:76" ht="15.75">
      <c r="A191" s="1">
        <v>184</v>
      </c>
      <c r="B191" s="1" t="s">
        <v>171</v>
      </c>
      <c r="C191" s="1">
        <v>2470.3</v>
      </c>
      <c r="D191" s="1">
        <v>0</v>
      </c>
      <c r="E191" s="1">
        <f t="shared" si="78"/>
        <v>2470.3</v>
      </c>
      <c r="F191" s="2">
        <v>15.85</v>
      </c>
      <c r="G191" s="2">
        <f t="shared" si="69"/>
        <v>39154.255000000005</v>
      </c>
      <c r="H191" s="2">
        <f t="shared" si="71"/>
        <v>234925.53000000003</v>
      </c>
      <c r="I191" s="2">
        <f t="shared" si="79"/>
        <v>15.85</v>
      </c>
      <c r="J191" s="2">
        <f t="shared" si="80"/>
        <v>39154.255000000005</v>
      </c>
      <c r="K191" s="2">
        <f t="shared" si="72"/>
        <v>234925.53000000003</v>
      </c>
      <c r="L191" s="97">
        <f t="shared" si="77"/>
        <v>469851.06000000006</v>
      </c>
      <c r="M191" s="109">
        <v>3.92</v>
      </c>
      <c r="N191" s="89">
        <f t="shared" si="81"/>
        <v>116202.91200000001</v>
      </c>
      <c r="O191" s="64">
        <v>1.46</v>
      </c>
      <c r="P191" s="90">
        <f t="shared" si="82"/>
        <v>43279.656</v>
      </c>
      <c r="Q191" s="64">
        <v>0.52</v>
      </c>
      <c r="R191" s="90">
        <f t="shared" si="83"/>
        <v>15414.672</v>
      </c>
      <c r="S191" s="64">
        <v>0.89</v>
      </c>
      <c r="T191" s="91">
        <f t="shared" si="84"/>
        <v>26382.804</v>
      </c>
      <c r="U191" s="64">
        <v>0.75</v>
      </c>
      <c r="V191" s="90">
        <f t="shared" si="85"/>
        <v>22232.7</v>
      </c>
      <c r="W191" s="96"/>
      <c r="X191" s="91">
        <f t="shared" si="86"/>
        <v>0</v>
      </c>
      <c r="Y191" s="110">
        <f t="shared" si="89"/>
        <v>223512.74400000004</v>
      </c>
      <c r="Z191" s="32"/>
      <c r="AA191" s="12">
        <f t="shared" si="87"/>
        <v>0</v>
      </c>
      <c r="AB191" s="25">
        <f t="shared" si="88"/>
        <v>469851.06000000006</v>
      </c>
      <c r="AC191" s="44"/>
      <c r="AD191" s="8">
        <f t="shared" si="73"/>
        <v>469851.06000000006</v>
      </c>
      <c r="AE191" s="167">
        <v>162242.56800000003</v>
      </c>
      <c r="AF191" s="168">
        <v>22807.363704972504</v>
      </c>
      <c r="AG191" s="168">
        <v>16346.891295027499</v>
      </c>
      <c r="AH191" s="168">
        <v>273688.36445967003</v>
      </c>
      <c r="AI191" s="168">
        <v>196162.69554033</v>
      </c>
      <c r="AJ191" s="59"/>
      <c r="AK191" s="59"/>
      <c r="AL191" s="45">
        <v>4817.09</v>
      </c>
      <c r="AM191" s="45">
        <v>6973.92</v>
      </c>
      <c r="AN191" s="2">
        <v>33621.37</v>
      </c>
      <c r="AO191" s="2">
        <v>8307.11</v>
      </c>
      <c r="AP191" s="1">
        <v>4817.09</v>
      </c>
      <c r="AQ191" s="1">
        <v>9514.87</v>
      </c>
      <c r="AR191" s="24">
        <v>4817.09</v>
      </c>
      <c r="AS191" s="24">
        <v>8249.92</v>
      </c>
      <c r="AT191" s="1">
        <v>10251.75</v>
      </c>
      <c r="AU191" s="1">
        <v>10878.87</v>
      </c>
      <c r="AV191" s="24">
        <v>13893.39</v>
      </c>
      <c r="AW191" s="24">
        <v>18717.78</v>
      </c>
      <c r="AX191" s="45">
        <v>13027.47</v>
      </c>
      <c r="AY191" s="45">
        <v>11826.5</v>
      </c>
      <c r="AZ191" s="24">
        <v>16127.73</v>
      </c>
      <c r="BA191" s="24">
        <v>6973.92</v>
      </c>
      <c r="BB191" s="24">
        <v>44520.81</v>
      </c>
      <c r="BC191" s="24">
        <v>8473.92</v>
      </c>
      <c r="BD191" s="24">
        <v>21225.88</v>
      </c>
      <c r="BE191" s="24">
        <v>9993.32</v>
      </c>
      <c r="BF191" s="24">
        <v>6113.09</v>
      </c>
      <c r="BG191" s="24">
        <v>11096.28</v>
      </c>
      <c r="BH191" s="24">
        <v>10855.89</v>
      </c>
      <c r="BI191" s="24">
        <v>15827.83</v>
      </c>
      <c r="BJ191" s="9">
        <f t="shared" si="74"/>
        <v>184088.64999999997</v>
      </c>
      <c r="BK191" s="9">
        <f t="shared" si="75"/>
        <v>126834.24</v>
      </c>
      <c r="BL191" s="153">
        <f t="shared" si="76"/>
        <v>310922.88999999996</v>
      </c>
      <c r="BM191" s="154"/>
      <c r="BN191" s="154"/>
      <c r="BO191" s="154">
        <v>1921.87</v>
      </c>
      <c r="BP191" s="154"/>
      <c r="BQ191" s="154"/>
      <c r="BR191" s="155">
        <f t="shared" si="91"/>
        <v>312844.75999999995</v>
      </c>
      <c r="BS191" s="198">
        <v>3606.64</v>
      </c>
      <c r="BT191" s="199"/>
      <c r="BU191" s="20">
        <f t="shared" si="90"/>
        <v>160612.94000000012</v>
      </c>
      <c r="BV191" s="231">
        <v>50277.38</v>
      </c>
      <c r="BW191" s="229"/>
      <c r="BX191" s="230"/>
    </row>
    <row r="192" spans="1:76" ht="15.75">
      <c r="A192" s="1">
        <v>185</v>
      </c>
      <c r="B192" s="18" t="s">
        <v>310</v>
      </c>
      <c r="C192" s="1">
        <v>1640.7</v>
      </c>
      <c r="D192" s="1">
        <v>0</v>
      </c>
      <c r="E192" s="1">
        <f t="shared" si="78"/>
        <v>1640.7</v>
      </c>
      <c r="F192" s="2">
        <v>15.18</v>
      </c>
      <c r="G192" s="2">
        <f t="shared" si="69"/>
        <v>24905.826</v>
      </c>
      <c r="H192" s="2">
        <f t="shared" si="71"/>
        <v>149434.956</v>
      </c>
      <c r="I192" s="2">
        <f t="shared" si="79"/>
        <v>15.18</v>
      </c>
      <c r="J192" s="2">
        <f t="shared" si="80"/>
        <v>24905.826</v>
      </c>
      <c r="K192" s="2">
        <f t="shared" si="72"/>
        <v>149434.956</v>
      </c>
      <c r="L192" s="97">
        <f t="shared" si="77"/>
        <v>298869.912</v>
      </c>
      <c r="M192" s="109">
        <v>3.92</v>
      </c>
      <c r="N192" s="89">
        <f t="shared" si="81"/>
        <v>77178.52799999999</v>
      </c>
      <c r="O192" s="64">
        <v>1.46</v>
      </c>
      <c r="P192" s="90">
        <f t="shared" si="82"/>
        <v>28745.064</v>
      </c>
      <c r="Q192" s="64"/>
      <c r="R192" s="90">
        <f t="shared" si="83"/>
        <v>0</v>
      </c>
      <c r="S192" s="64"/>
      <c r="T192" s="91">
        <f t="shared" si="84"/>
        <v>0</v>
      </c>
      <c r="U192" s="64">
        <v>0.91</v>
      </c>
      <c r="V192" s="90">
        <f t="shared" si="85"/>
        <v>17916.444</v>
      </c>
      <c r="W192" s="96"/>
      <c r="X192" s="91">
        <f t="shared" si="86"/>
        <v>0</v>
      </c>
      <c r="Y192" s="110">
        <f t="shared" si="89"/>
        <v>123840.036</v>
      </c>
      <c r="Z192" s="32"/>
      <c r="AA192" s="12">
        <f t="shared" si="87"/>
        <v>0</v>
      </c>
      <c r="AB192" s="25">
        <f t="shared" si="88"/>
        <v>298869.912</v>
      </c>
      <c r="AC192" s="44"/>
      <c r="AD192" s="8">
        <f t="shared" si="73"/>
        <v>298869.912</v>
      </c>
      <c r="AE192" s="167">
        <v>108683.592</v>
      </c>
      <c r="AF192" s="168">
        <v>14469.768566808869</v>
      </c>
      <c r="AG192" s="168">
        <v>10436.057433191132</v>
      </c>
      <c r="AH192" s="168">
        <v>173637.22280170643</v>
      </c>
      <c r="AI192" s="168">
        <v>125232.68919829358</v>
      </c>
      <c r="AJ192" s="59"/>
      <c r="AK192" s="59"/>
      <c r="AL192" s="45">
        <v>3199.37</v>
      </c>
      <c r="AM192" s="45">
        <v>4709.11</v>
      </c>
      <c r="AN192" s="2">
        <v>30905.24</v>
      </c>
      <c r="AO192" s="2">
        <v>10921.64</v>
      </c>
      <c r="AP192" s="1">
        <v>83914.37</v>
      </c>
      <c r="AQ192" s="1">
        <v>13122.5</v>
      </c>
      <c r="AR192" s="24">
        <v>4076.87</v>
      </c>
      <c r="AS192" s="24">
        <v>5985.11</v>
      </c>
      <c r="AT192" s="1">
        <v>8125.16</v>
      </c>
      <c r="AU192" s="1">
        <v>4709.11</v>
      </c>
      <c r="AV192" s="24">
        <v>8072.15</v>
      </c>
      <c r="AW192" s="24">
        <v>4709.11</v>
      </c>
      <c r="AX192" s="45">
        <v>7456.91</v>
      </c>
      <c r="AY192" s="45">
        <v>4709.11</v>
      </c>
      <c r="AZ192" s="24">
        <v>6808.91</v>
      </c>
      <c r="BA192" s="24">
        <v>4709.11</v>
      </c>
      <c r="BB192" s="24">
        <v>8419.41</v>
      </c>
      <c r="BC192" s="24">
        <v>4709.11</v>
      </c>
      <c r="BD192" s="24">
        <v>13199.77</v>
      </c>
      <c r="BE192" s="24">
        <v>7728.51</v>
      </c>
      <c r="BF192" s="24">
        <v>4545.49</v>
      </c>
      <c r="BG192" s="24">
        <v>9236.51</v>
      </c>
      <c r="BH192" s="24">
        <v>3199.37</v>
      </c>
      <c r="BI192" s="24">
        <v>4709.11</v>
      </c>
      <c r="BJ192" s="9">
        <f t="shared" si="74"/>
        <v>181923.02</v>
      </c>
      <c r="BK192" s="9">
        <f t="shared" si="75"/>
        <v>79958.04</v>
      </c>
      <c r="BL192" s="153">
        <f t="shared" si="76"/>
        <v>261881.06</v>
      </c>
      <c r="BM192" s="154"/>
      <c r="BN192" s="154"/>
      <c r="BO192" s="154"/>
      <c r="BP192" s="154"/>
      <c r="BQ192" s="154"/>
      <c r="BR192" s="155">
        <f t="shared" si="91"/>
        <v>261881.06</v>
      </c>
      <c r="BS192" s="198">
        <v>2395.42</v>
      </c>
      <c r="BT192" s="199"/>
      <c r="BU192" s="20">
        <f t="shared" si="90"/>
        <v>39384.27200000001</v>
      </c>
      <c r="BV192" s="231">
        <v>642640.01</v>
      </c>
      <c r="BW192" s="229"/>
      <c r="BX192" s="230"/>
    </row>
    <row r="193" spans="1:76" ht="15.75">
      <c r="A193" s="1">
        <v>186</v>
      </c>
      <c r="B193" s="1" t="s">
        <v>172</v>
      </c>
      <c r="C193" s="27">
        <v>1479.2</v>
      </c>
      <c r="D193" s="27">
        <v>304.8</v>
      </c>
      <c r="E193" s="1">
        <f t="shared" si="78"/>
        <v>1784</v>
      </c>
      <c r="F193" s="2">
        <v>14.7</v>
      </c>
      <c r="G193" s="2">
        <f t="shared" si="69"/>
        <v>26224.8</v>
      </c>
      <c r="H193" s="2">
        <f t="shared" si="71"/>
        <v>157348.8</v>
      </c>
      <c r="I193" s="2">
        <f t="shared" si="79"/>
        <v>14.7</v>
      </c>
      <c r="J193" s="2">
        <f t="shared" si="80"/>
        <v>26224.8</v>
      </c>
      <c r="K193" s="2">
        <f t="shared" si="72"/>
        <v>157348.8</v>
      </c>
      <c r="L193" s="97">
        <f t="shared" si="77"/>
        <v>314697.6</v>
      </c>
      <c r="M193" s="109">
        <v>3.92</v>
      </c>
      <c r="N193" s="89">
        <f t="shared" si="81"/>
        <v>83919.36</v>
      </c>
      <c r="O193" s="64">
        <v>1.46</v>
      </c>
      <c r="P193" s="90">
        <f t="shared" si="82"/>
        <v>31255.68</v>
      </c>
      <c r="Q193" s="64"/>
      <c r="R193" s="90">
        <f t="shared" si="83"/>
        <v>0</v>
      </c>
      <c r="S193" s="64"/>
      <c r="T193" s="91">
        <f t="shared" si="84"/>
        <v>0</v>
      </c>
      <c r="U193" s="64">
        <v>0.19</v>
      </c>
      <c r="V193" s="90">
        <f t="shared" si="85"/>
        <v>4067.5199999999995</v>
      </c>
      <c r="W193" s="96"/>
      <c r="X193" s="91">
        <f t="shared" si="86"/>
        <v>0</v>
      </c>
      <c r="Y193" s="110">
        <f t="shared" si="89"/>
        <v>119242.56000000001</v>
      </c>
      <c r="Z193" s="32">
        <v>-498370.71</v>
      </c>
      <c r="AA193" s="12">
        <f t="shared" si="87"/>
        <v>-1.5836495416552272</v>
      </c>
      <c r="AB193" s="25">
        <f t="shared" si="88"/>
        <v>-183673.11000000004</v>
      </c>
      <c r="AC193" s="44"/>
      <c r="AD193" s="8">
        <f t="shared" si="73"/>
        <v>-183673.11000000004</v>
      </c>
      <c r="AE193" s="167">
        <v>60989.76000000001</v>
      </c>
      <c r="AF193" s="168">
        <v>0</v>
      </c>
      <c r="AG193" s="168">
        <v>5082.4800000000005</v>
      </c>
      <c r="AH193" s="168">
        <v>0</v>
      </c>
      <c r="AI193" s="168">
        <v>60989.76000000001</v>
      </c>
      <c r="AJ193" s="59" t="s">
        <v>296</v>
      </c>
      <c r="AK193" s="26" t="s">
        <v>352</v>
      </c>
      <c r="AL193" s="45">
        <v>0</v>
      </c>
      <c r="AM193" s="45">
        <v>17456.2</v>
      </c>
      <c r="AN193" s="2">
        <v>0</v>
      </c>
      <c r="AO193" s="2">
        <v>6704.33</v>
      </c>
      <c r="AP193" s="1">
        <v>0</v>
      </c>
      <c r="AQ193" s="1">
        <v>22624.28</v>
      </c>
      <c r="AR193" s="24">
        <v>0</v>
      </c>
      <c r="AS193" s="24">
        <v>13669.71</v>
      </c>
      <c r="AT193" s="1">
        <v>0</v>
      </c>
      <c r="AU193" s="1">
        <v>52417.87</v>
      </c>
      <c r="AV193" s="24">
        <v>0</v>
      </c>
      <c r="AW193" s="24">
        <v>8508.32</v>
      </c>
      <c r="AX193" s="45">
        <v>0</v>
      </c>
      <c r="AY193" s="45">
        <v>83397.08</v>
      </c>
      <c r="AZ193" s="24">
        <v>0</v>
      </c>
      <c r="BA193" s="24">
        <v>25735.82</v>
      </c>
      <c r="BB193" s="24">
        <v>0</v>
      </c>
      <c r="BC193" s="24">
        <v>23495.7</v>
      </c>
      <c r="BD193" s="24">
        <v>0</v>
      </c>
      <c r="BE193" s="24">
        <v>13000.27</v>
      </c>
      <c r="BF193" s="24">
        <v>0</v>
      </c>
      <c r="BG193" s="24">
        <v>14467.4</v>
      </c>
      <c r="BH193" s="24">
        <v>0</v>
      </c>
      <c r="BI193" s="24">
        <v>29376.18</v>
      </c>
      <c r="BJ193" s="9">
        <f t="shared" si="74"/>
        <v>0</v>
      </c>
      <c r="BK193" s="9">
        <f t="shared" si="75"/>
        <v>310853.16000000003</v>
      </c>
      <c r="BL193" s="153">
        <f t="shared" si="76"/>
        <v>310853.16000000003</v>
      </c>
      <c r="BM193" s="154"/>
      <c r="BN193" s="154">
        <v>16860</v>
      </c>
      <c r="BO193" s="154"/>
      <c r="BP193" s="154"/>
      <c r="BQ193" s="154"/>
      <c r="BR193" s="155">
        <f t="shared" si="91"/>
        <v>327713.16000000003</v>
      </c>
      <c r="BS193" s="198">
        <v>1334.22</v>
      </c>
      <c r="BT193" s="199">
        <v>4128</v>
      </c>
      <c r="BU193" s="20">
        <f t="shared" si="90"/>
        <v>-510052.0500000001</v>
      </c>
      <c r="BV193" s="231">
        <v>268625.32</v>
      </c>
      <c r="BW193" s="229"/>
      <c r="BX193" s="230"/>
    </row>
    <row r="194" spans="1:76" ht="15.75">
      <c r="A194" s="1">
        <v>187</v>
      </c>
      <c r="B194" s="1" t="s">
        <v>173</v>
      </c>
      <c r="C194" s="27">
        <v>1137.1</v>
      </c>
      <c r="D194" s="1">
        <v>158.6</v>
      </c>
      <c r="E194" s="1">
        <f t="shared" si="78"/>
        <v>1295.6999999999998</v>
      </c>
      <c r="F194" s="2">
        <v>13.78</v>
      </c>
      <c r="G194" s="2">
        <f t="shared" si="69"/>
        <v>17854.745999999996</v>
      </c>
      <c r="H194" s="2">
        <f t="shared" si="71"/>
        <v>107128.47599999997</v>
      </c>
      <c r="I194" s="2">
        <f t="shared" si="79"/>
        <v>13.78</v>
      </c>
      <c r="J194" s="2">
        <f t="shared" si="80"/>
        <v>17854.745999999996</v>
      </c>
      <c r="K194" s="2">
        <f t="shared" si="72"/>
        <v>107128.47599999997</v>
      </c>
      <c r="L194" s="97">
        <f t="shared" si="77"/>
        <v>214256.95199999993</v>
      </c>
      <c r="M194" s="109">
        <v>3.92</v>
      </c>
      <c r="N194" s="89">
        <f t="shared" si="81"/>
        <v>60949.72799999999</v>
      </c>
      <c r="O194" s="64">
        <v>1.46</v>
      </c>
      <c r="P194" s="90">
        <f t="shared" si="82"/>
        <v>22700.663999999997</v>
      </c>
      <c r="Q194" s="64"/>
      <c r="R194" s="90">
        <f t="shared" si="83"/>
        <v>0</v>
      </c>
      <c r="S194" s="64"/>
      <c r="T194" s="91">
        <f t="shared" si="84"/>
        <v>0</v>
      </c>
      <c r="U194" s="64">
        <v>0</v>
      </c>
      <c r="V194" s="90">
        <f t="shared" si="85"/>
        <v>0</v>
      </c>
      <c r="W194" s="96"/>
      <c r="X194" s="91">
        <f t="shared" si="86"/>
        <v>0</v>
      </c>
      <c r="Y194" s="110">
        <f t="shared" si="89"/>
        <v>83650.39199999999</v>
      </c>
      <c r="Z194" s="32">
        <v>-33763.87</v>
      </c>
      <c r="AA194" s="12">
        <f t="shared" si="87"/>
        <v>-0.15758587847361896</v>
      </c>
      <c r="AB194" s="25">
        <f t="shared" si="88"/>
        <v>180493.08199999994</v>
      </c>
      <c r="AC194" s="44"/>
      <c r="AD194" s="8">
        <f t="shared" si="73"/>
        <v>180493.08199999994</v>
      </c>
      <c r="AE194" s="167">
        <v>42291.64800000001</v>
      </c>
      <c r="AF194" s="168">
        <v>0</v>
      </c>
      <c r="AG194" s="168">
        <v>15041.090166666661</v>
      </c>
      <c r="AH194" s="168">
        <v>0</v>
      </c>
      <c r="AI194" s="168">
        <v>180493.08199999994</v>
      </c>
      <c r="AJ194" s="59" t="s">
        <v>296</v>
      </c>
      <c r="AK194" s="59"/>
      <c r="AL194" s="45">
        <v>0</v>
      </c>
      <c r="AM194" s="45">
        <v>3535.62</v>
      </c>
      <c r="AN194" s="2">
        <v>0</v>
      </c>
      <c r="AO194" s="2">
        <v>5849.99</v>
      </c>
      <c r="AP194" s="1">
        <v>0</v>
      </c>
      <c r="AQ194" s="1">
        <v>17730.84</v>
      </c>
      <c r="AR194" s="24">
        <v>0</v>
      </c>
      <c r="AS194" s="24">
        <v>21283.68</v>
      </c>
      <c r="AT194" s="1">
        <v>0</v>
      </c>
      <c r="AU194" s="1">
        <v>7430.84</v>
      </c>
      <c r="AV194" s="24">
        <v>0</v>
      </c>
      <c r="AW194" s="24">
        <v>5390.01</v>
      </c>
      <c r="AX194" s="45">
        <v>0</v>
      </c>
      <c r="AY194" s="45">
        <v>5688.09</v>
      </c>
      <c r="AZ194" s="24">
        <v>0</v>
      </c>
      <c r="BA194" s="24">
        <v>3535.62</v>
      </c>
      <c r="BB194" s="24">
        <v>0</v>
      </c>
      <c r="BC194" s="24">
        <v>5035.62</v>
      </c>
      <c r="BD194" s="24">
        <v>0</v>
      </c>
      <c r="BE194" s="24">
        <v>7071.67</v>
      </c>
      <c r="BF194" s="24">
        <v>0</v>
      </c>
      <c r="BG194" s="24">
        <v>12681.67</v>
      </c>
      <c r="BH194" s="24">
        <v>0</v>
      </c>
      <c r="BI194" s="24">
        <v>5413.3</v>
      </c>
      <c r="BJ194" s="9">
        <f t="shared" si="74"/>
        <v>0</v>
      </c>
      <c r="BK194" s="9">
        <f t="shared" si="75"/>
        <v>100646.95</v>
      </c>
      <c r="BL194" s="153">
        <f t="shared" si="76"/>
        <v>100646.95</v>
      </c>
      <c r="BM194" s="154">
        <v>24007</v>
      </c>
      <c r="BN194" s="154"/>
      <c r="BO194" s="154"/>
      <c r="BP194" s="154"/>
      <c r="BQ194" s="154"/>
      <c r="BR194" s="155">
        <f t="shared" si="91"/>
        <v>124653.95</v>
      </c>
      <c r="BS194" s="198">
        <v>2822.47</v>
      </c>
      <c r="BT194" s="199"/>
      <c r="BU194" s="20">
        <f t="shared" si="90"/>
        <v>58661.60199999994</v>
      </c>
      <c r="BV194" s="231">
        <v>301335.08</v>
      </c>
      <c r="BW194" s="229"/>
      <c r="BX194" s="230"/>
    </row>
    <row r="195" spans="1:76" ht="15.75">
      <c r="A195" s="1">
        <v>188</v>
      </c>
      <c r="B195" s="1" t="s">
        <v>174</v>
      </c>
      <c r="C195" s="27">
        <v>1340.1</v>
      </c>
      <c r="D195" s="1">
        <v>460.4</v>
      </c>
      <c r="E195" s="1">
        <f t="shared" si="78"/>
        <v>1800.5</v>
      </c>
      <c r="F195" s="2">
        <v>10.45</v>
      </c>
      <c r="G195" s="2">
        <f t="shared" si="69"/>
        <v>18815.225</v>
      </c>
      <c r="H195" s="2">
        <f t="shared" si="71"/>
        <v>112891.34999999999</v>
      </c>
      <c r="I195" s="2">
        <f t="shared" si="79"/>
        <v>10.45</v>
      </c>
      <c r="J195" s="2">
        <f t="shared" si="80"/>
        <v>18815.225</v>
      </c>
      <c r="K195" s="2">
        <f t="shared" si="72"/>
        <v>112891.34999999999</v>
      </c>
      <c r="L195" s="97">
        <f t="shared" si="77"/>
        <v>225782.69999999998</v>
      </c>
      <c r="M195" s="109">
        <v>3.92</v>
      </c>
      <c r="N195" s="89">
        <f t="shared" si="81"/>
        <v>84695.52</v>
      </c>
      <c r="O195" s="64">
        <v>1.46</v>
      </c>
      <c r="P195" s="90">
        <f t="shared" si="82"/>
        <v>31544.760000000002</v>
      </c>
      <c r="Q195" s="64"/>
      <c r="R195" s="90">
        <f t="shared" si="83"/>
        <v>0</v>
      </c>
      <c r="S195" s="64"/>
      <c r="T195" s="91">
        <f t="shared" si="84"/>
        <v>0</v>
      </c>
      <c r="U195" s="64">
        <v>0.19</v>
      </c>
      <c r="V195" s="90">
        <f t="shared" si="85"/>
        <v>4105.14</v>
      </c>
      <c r="W195" s="96"/>
      <c r="X195" s="91">
        <f t="shared" si="86"/>
        <v>0</v>
      </c>
      <c r="Y195" s="110">
        <f t="shared" si="89"/>
        <v>120345.42</v>
      </c>
      <c r="Z195" s="32">
        <v>-272959.03</v>
      </c>
      <c r="AA195" s="12">
        <f t="shared" si="87"/>
        <v>-1.2089457252482145</v>
      </c>
      <c r="AB195" s="25">
        <f t="shared" si="88"/>
        <v>-47176.330000000045</v>
      </c>
      <c r="AC195" s="44"/>
      <c r="AD195" s="8">
        <f t="shared" si="73"/>
        <v>-47176.330000000045</v>
      </c>
      <c r="AE195" s="167">
        <v>61528.32000000001</v>
      </c>
      <c r="AF195" s="168">
        <v>0</v>
      </c>
      <c r="AG195" s="168">
        <v>5127.360000000001</v>
      </c>
      <c r="AH195" s="168">
        <v>0</v>
      </c>
      <c r="AI195" s="168">
        <v>61528.32000000001</v>
      </c>
      <c r="AJ195" s="59" t="s">
        <v>299</v>
      </c>
      <c r="AK195" s="26" t="s">
        <v>352</v>
      </c>
      <c r="AL195" s="45">
        <v>0</v>
      </c>
      <c r="AM195" s="45">
        <v>5145.37</v>
      </c>
      <c r="AN195" s="2">
        <v>0</v>
      </c>
      <c r="AO195" s="2">
        <v>9958.56</v>
      </c>
      <c r="AP195" s="1">
        <v>0</v>
      </c>
      <c r="AQ195" s="1">
        <v>25025.72</v>
      </c>
      <c r="AR195" s="24">
        <v>0</v>
      </c>
      <c r="AS195" s="24">
        <v>7291.37</v>
      </c>
      <c r="AT195" s="1">
        <v>0</v>
      </c>
      <c r="AU195" s="1">
        <v>6958.09</v>
      </c>
      <c r="AV195" s="24">
        <v>0</v>
      </c>
      <c r="AW195" s="24">
        <v>5145.37</v>
      </c>
      <c r="AX195" s="45">
        <v>0</v>
      </c>
      <c r="AY195" s="45">
        <v>10605.26</v>
      </c>
      <c r="AZ195" s="24">
        <v>0</v>
      </c>
      <c r="BA195" s="24">
        <v>12652.64</v>
      </c>
      <c r="BB195" s="24">
        <v>0</v>
      </c>
      <c r="BC195" s="24">
        <v>8164.77</v>
      </c>
      <c r="BD195" s="24">
        <v>0</v>
      </c>
      <c r="BE195" s="24">
        <v>8164.77</v>
      </c>
      <c r="BF195" s="24">
        <v>0</v>
      </c>
      <c r="BG195" s="24">
        <v>11885.79</v>
      </c>
      <c r="BH195" s="24">
        <v>0</v>
      </c>
      <c r="BI195" s="24">
        <v>11283.31</v>
      </c>
      <c r="BJ195" s="9">
        <f t="shared" si="74"/>
        <v>0</v>
      </c>
      <c r="BK195" s="9">
        <f t="shared" si="75"/>
        <v>122281.02000000002</v>
      </c>
      <c r="BL195" s="153">
        <f t="shared" si="76"/>
        <v>122281.02000000002</v>
      </c>
      <c r="BM195" s="154"/>
      <c r="BN195" s="154"/>
      <c r="BO195" s="154"/>
      <c r="BP195" s="154"/>
      <c r="BQ195" s="154"/>
      <c r="BR195" s="155">
        <f t="shared" si="91"/>
        <v>122281.02000000002</v>
      </c>
      <c r="BS195" s="198">
        <v>1314.37</v>
      </c>
      <c r="BT195" s="199">
        <v>4128</v>
      </c>
      <c r="BU195" s="20">
        <f t="shared" si="90"/>
        <v>-168142.98000000007</v>
      </c>
      <c r="BV195" s="231">
        <v>83123.93</v>
      </c>
      <c r="BW195" s="229"/>
      <c r="BX195" s="230"/>
    </row>
    <row r="196" spans="1:76" ht="15.75">
      <c r="A196" s="1">
        <v>189</v>
      </c>
      <c r="B196" s="1" t="s">
        <v>175</v>
      </c>
      <c r="C196" s="27">
        <v>1296.5</v>
      </c>
      <c r="D196" s="1">
        <v>0</v>
      </c>
      <c r="E196" s="1">
        <f t="shared" si="78"/>
        <v>1296.5</v>
      </c>
      <c r="F196" s="2">
        <v>14.75</v>
      </c>
      <c r="G196" s="2">
        <f t="shared" si="69"/>
        <v>19123.375</v>
      </c>
      <c r="H196" s="2">
        <f t="shared" si="71"/>
        <v>114740.25</v>
      </c>
      <c r="I196" s="2">
        <f t="shared" si="79"/>
        <v>14.75</v>
      </c>
      <c r="J196" s="2">
        <f t="shared" si="80"/>
        <v>19123.375</v>
      </c>
      <c r="K196" s="2">
        <f t="shared" si="72"/>
        <v>114740.25</v>
      </c>
      <c r="L196" s="97">
        <f t="shared" si="77"/>
        <v>229480.5</v>
      </c>
      <c r="M196" s="109">
        <v>3.92</v>
      </c>
      <c r="N196" s="89">
        <f t="shared" si="81"/>
        <v>60987.36</v>
      </c>
      <c r="O196" s="64">
        <v>1.46</v>
      </c>
      <c r="P196" s="90">
        <f t="shared" si="82"/>
        <v>22714.68</v>
      </c>
      <c r="Q196" s="64"/>
      <c r="R196" s="90">
        <f t="shared" si="83"/>
        <v>0</v>
      </c>
      <c r="S196" s="64"/>
      <c r="T196" s="91">
        <f t="shared" si="84"/>
        <v>0</v>
      </c>
      <c r="U196" s="64">
        <v>0.27</v>
      </c>
      <c r="V196" s="90">
        <f t="shared" si="85"/>
        <v>4200.66</v>
      </c>
      <c r="W196" s="96"/>
      <c r="X196" s="91">
        <f t="shared" si="86"/>
        <v>0</v>
      </c>
      <c r="Y196" s="110">
        <f t="shared" si="89"/>
        <v>87902.70000000001</v>
      </c>
      <c r="Z196" s="32">
        <v>-16981.34</v>
      </c>
      <c r="AA196" s="12">
        <f t="shared" si="87"/>
        <v>-0.07399905438588464</v>
      </c>
      <c r="AB196" s="25">
        <f t="shared" si="88"/>
        <v>212499.16</v>
      </c>
      <c r="AC196" s="44"/>
      <c r="AD196" s="8">
        <f t="shared" si="73"/>
        <v>212499.16</v>
      </c>
      <c r="AE196" s="167">
        <v>86462.04000000001</v>
      </c>
      <c r="AF196" s="168">
        <v>0</v>
      </c>
      <c r="AG196" s="168">
        <v>17708.263333333332</v>
      </c>
      <c r="AH196" s="168">
        <v>0</v>
      </c>
      <c r="AI196" s="168">
        <v>212499.15999999997</v>
      </c>
      <c r="AJ196" s="59"/>
      <c r="AK196" s="59"/>
      <c r="AL196" s="45">
        <v>0</v>
      </c>
      <c r="AM196" s="45">
        <v>6103.15</v>
      </c>
      <c r="AN196" s="2">
        <v>0</v>
      </c>
      <c r="AO196" s="2">
        <v>7436.34</v>
      </c>
      <c r="AP196" s="1">
        <v>0</v>
      </c>
      <c r="AQ196" s="1">
        <v>43510.37</v>
      </c>
      <c r="AR196" s="24">
        <v>0</v>
      </c>
      <c r="AS196" s="24">
        <v>15966.42</v>
      </c>
      <c r="AT196" s="1">
        <v>0</v>
      </c>
      <c r="AU196" s="1">
        <v>8517.72</v>
      </c>
      <c r="AV196" s="24">
        <v>0</v>
      </c>
      <c r="AW196" s="24">
        <v>11589.9</v>
      </c>
      <c r="AX196" s="45">
        <v>0</v>
      </c>
      <c r="AY196" s="45">
        <v>12885.44</v>
      </c>
      <c r="AZ196" s="24">
        <v>0</v>
      </c>
      <c r="BA196" s="24">
        <v>14246.71</v>
      </c>
      <c r="BB196" s="24">
        <v>0</v>
      </c>
      <c r="BC196" s="24">
        <v>17793.17</v>
      </c>
      <c r="BD196" s="24">
        <v>0</v>
      </c>
      <c r="BE196" s="24">
        <v>18511.66</v>
      </c>
      <c r="BF196" s="24">
        <v>0</v>
      </c>
      <c r="BG196" s="24">
        <v>12206.36</v>
      </c>
      <c r="BH196" s="24">
        <v>0</v>
      </c>
      <c r="BI196" s="24">
        <v>14635.1</v>
      </c>
      <c r="BJ196" s="9">
        <f t="shared" si="74"/>
        <v>0</v>
      </c>
      <c r="BK196" s="9">
        <f t="shared" si="75"/>
        <v>183402.34</v>
      </c>
      <c r="BL196" s="153">
        <f t="shared" si="76"/>
        <v>183402.34</v>
      </c>
      <c r="BM196" s="154"/>
      <c r="BN196" s="154"/>
      <c r="BO196" s="154"/>
      <c r="BP196" s="154"/>
      <c r="BQ196" s="154"/>
      <c r="BR196" s="155">
        <f t="shared" si="91"/>
        <v>183402.34</v>
      </c>
      <c r="BS196" s="198">
        <v>945.5</v>
      </c>
      <c r="BT196" s="199">
        <v>4128</v>
      </c>
      <c r="BU196" s="20">
        <f t="shared" si="90"/>
        <v>30042.320000000007</v>
      </c>
      <c r="BV196" s="231">
        <v>23480.41</v>
      </c>
      <c r="BW196" s="229"/>
      <c r="BX196" s="230"/>
    </row>
    <row r="197" spans="1:76" ht="15.75">
      <c r="A197" s="1">
        <v>190</v>
      </c>
      <c r="B197" s="1" t="s">
        <v>176</v>
      </c>
      <c r="C197" s="27">
        <v>1278.2</v>
      </c>
      <c r="D197" s="1">
        <v>482.6</v>
      </c>
      <c r="E197" s="1">
        <f t="shared" si="78"/>
        <v>1760.8000000000002</v>
      </c>
      <c r="F197" s="2">
        <v>14.09</v>
      </c>
      <c r="G197" s="2">
        <f t="shared" si="69"/>
        <v>24809.672000000002</v>
      </c>
      <c r="H197" s="2">
        <f t="shared" si="71"/>
        <v>148858.032</v>
      </c>
      <c r="I197" s="2">
        <f t="shared" si="79"/>
        <v>14.09</v>
      </c>
      <c r="J197" s="2">
        <f t="shared" si="80"/>
        <v>24809.672000000002</v>
      </c>
      <c r="K197" s="2">
        <f t="shared" si="72"/>
        <v>148858.032</v>
      </c>
      <c r="L197" s="97">
        <f t="shared" si="77"/>
        <v>297716.064</v>
      </c>
      <c r="M197" s="109">
        <v>3.92</v>
      </c>
      <c r="N197" s="89">
        <f t="shared" si="81"/>
        <v>82828.032</v>
      </c>
      <c r="O197" s="64">
        <v>1.46</v>
      </c>
      <c r="P197" s="90">
        <f t="shared" si="82"/>
        <v>30849.216</v>
      </c>
      <c r="Q197" s="64"/>
      <c r="R197" s="90">
        <f t="shared" si="83"/>
        <v>0</v>
      </c>
      <c r="S197" s="64"/>
      <c r="T197" s="91">
        <f t="shared" si="84"/>
        <v>0</v>
      </c>
      <c r="U197" s="64">
        <v>0</v>
      </c>
      <c r="V197" s="90">
        <f t="shared" si="85"/>
        <v>0</v>
      </c>
      <c r="W197" s="96"/>
      <c r="X197" s="91">
        <f t="shared" si="86"/>
        <v>0</v>
      </c>
      <c r="Y197" s="110">
        <f t="shared" si="89"/>
        <v>113677.248</v>
      </c>
      <c r="Z197" s="32"/>
      <c r="AA197" s="12">
        <f t="shared" si="87"/>
        <v>0</v>
      </c>
      <c r="AB197" s="25">
        <f t="shared" si="88"/>
        <v>297716.064</v>
      </c>
      <c r="AC197" s="44"/>
      <c r="AD197" s="8">
        <f t="shared" si="73"/>
        <v>297716.064</v>
      </c>
      <c r="AE197" s="167">
        <v>116398.512</v>
      </c>
      <c r="AF197" s="168">
        <v>0</v>
      </c>
      <c r="AG197" s="168">
        <v>24809.672000000002</v>
      </c>
      <c r="AH197" s="168">
        <v>0</v>
      </c>
      <c r="AI197" s="168">
        <v>297716.064</v>
      </c>
      <c r="AJ197" s="59"/>
      <c r="AK197" s="59"/>
      <c r="AL197" s="45">
        <v>0</v>
      </c>
      <c r="AM197" s="45">
        <v>5905.46</v>
      </c>
      <c r="AN197" s="2">
        <v>0</v>
      </c>
      <c r="AO197" s="2">
        <v>7579.76</v>
      </c>
      <c r="AP197" s="1">
        <v>0</v>
      </c>
      <c r="AQ197" s="1">
        <v>61016.04</v>
      </c>
      <c r="AR197" s="24">
        <v>0</v>
      </c>
      <c r="AS197" s="24">
        <v>6311.35</v>
      </c>
      <c r="AT197" s="1">
        <v>0</v>
      </c>
      <c r="AU197" s="1">
        <v>7850.57</v>
      </c>
      <c r="AV197" s="24">
        <v>0</v>
      </c>
      <c r="AW197" s="24">
        <v>5259.35</v>
      </c>
      <c r="AX197" s="45">
        <v>0</v>
      </c>
      <c r="AY197" s="45">
        <v>6107.82</v>
      </c>
      <c r="AZ197" s="24">
        <v>0</v>
      </c>
      <c r="BA197" s="24">
        <v>5035.35</v>
      </c>
      <c r="BB197" s="24">
        <v>0</v>
      </c>
      <c r="BC197" s="24">
        <v>15267.39</v>
      </c>
      <c r="BD197" s="24">
        <v>0</v>
      </c>
      <c r="BE197" s="24">
        <v>8702.75</v>
      </c>
      <c r="BF197" s="24">
        <v>0</v>
      </c>
      <c r="BG197" s="24">
        <v>10571.1</v>
      </c>
      <c r="BH197" s="24">
        <v>0</v>
      </c>
      <c r="BI197" s="24">
        <v>7521.17</v>
      </c>
      <c r="BJ197" s="9">
        <f t="shared" si="74"/>
        <v>0</v>
      </c>
      <c r="BK197" s="9">
        <f t="shared" si="75"/>
        <v>147128.11000000004</v>
      </c>
      <c r="BL197" s="153">
        <f t="shared" si="76"/>
        <v>147128.11000000004</v>
      </c>
      <c r="BM197" s="154"/>
      <c r="BN197" s="154"/>
      <c r="BO197" s="154"/>
      <c r="BP197" s="154"/>
      <c r="BQ197" s="154"/>
      <c r="BR197" s="155">
        <f t="shared" si="91"/>
        <v>147128.11000000004</v>
      </c>
      <c r="BS197" s="198">
        <v>3855.5</v>
      </c>
      <c r="BT197" s="199"/>
      <c r="BU197" s="20">
        <f t="shared" si="90"/>
        <v>154443.45399999997</v>
      </c>
      <c r="BV197" s="231">
        <v>86690.07</v>
      </c>
      <c r="BW197" s="229"/>
      <c r="BX197" s="230"/>
    </row>
    <row r="198" spans="1:76" ht="15.75">
      <c r="A198" s="1">
        <v>191</v>
      </c>
      <c r="B198" s="1" t="s">
        <v>177</v>
      </c>
      <c r="C198" s="27">
        <v>1135.5</v>
      </c>
      <c r="D198" s="1">
        <v>158</v>
      </c>
      <c r="E198" s="1">
        <f t="shared" si="78"/>
        <v>1293.5</v>
      </c>
      <c r="F198" s="2">
        <v>14.41</v>
      </c>
      <c r="G198" s="2">
        <f t="shared" si="69"/>
        <v>18639.335</v>
      </c>
      <c r="H198" s="2">
        <f t="shared" si="71"/>
        <v>111836.01</v>
      </c>
      <c r="I198" s="2">
        <f t="shared" si="79"/>
        <v>14.41</v>
      </c>
      <c r="J198" s="2">
        <f t="shared" si="80"/>
        <v>18639.335</v>
      </c>
      <c r="K198" s="2">
        <f t="shared" si="72"/>
        <v>111836.01</v>
      </c>
      <c r="L198" s="97">
        <f t="shared" si="77"/>
        <v>223672.02</v>
      </c>
      <c r="M198" s="109">
        <v>3.92</v>
      </c>
      <c r="N198" s="89">
        <f t="shared" si="81"/>
        <v>60846.23999999999</v>
      </c>
      <c r="O198" s="64">
        <v>1.46</v>
      </c>
      <c r="P198" s="90">
        <f t="shared" si="82"/>
        <v>22662.12</v>
      </c>
      <c r="Q198" s="64"/>
      <c r="R198" s="90">
        <f t="shared" si="83"/>
        <v>0</v>
      </c>
      <c r="S198" s="64"/>
      <c r="T198" s="91">
        <f t="shared" si="84"/>
        <v>0</v>
      </c>
      <c r="U198" s="64">
        <v>0.27</v>
      </c>
      <c r="V198" s="90">
        <f t="shared" si="85"/>
        <v>4190.9400000000005</v>
      </c>
      <c r="W198" s="96"/>
      <c r="X198" s="91">
        <f t="shared" si="86"/>
        <v>0</v>
      </c>
      <c r="Y198" s="110">
        <f t="shared" si="89"/>
        <v>87699.29999999999</v>
      </c>
      <c r="Z198" s="32">
        <v>-269024.2</v>
      </c>
      <c r="AA198" s="12">
        <f t="shared" si="87"/>
        <v>-1.2027619726419068</v>
      </c>
      <c r="AB198" s="25">
        <f t="shared" si="88"/>
        <v>-45352.18000000002</v>
      </c>
      <c r="AC198" s="44"/>
      <c r="AD198" s="8">
        <f t="shared" si="73"/>
        <v>-45352.18000000002</v>
      </c>
      <c r="AE198" s="167">
        <v>44979.840000000004</v>
      </c>
      <c r="AF198" s="168">
        <v>0</v>
      </c>
      <c r="AG198" s="168">
        <v>3748.320000000002</v>
      </c>
      <c r="AH198" s="168">
        <v>0</v>
      </c>
      <c r="AI198" s="168">
        <v>44979.840000000026</v>
      </c>
      <c r="AJ198" s="26" t="s">
        <v>296</v>
      </c>
      <c r="AK198" s="26" t="s">
        <v>352</v>
      </c>
      <c r="AL198" s="45">
        <v>0</v>
      </c>
      <c r="AM198" s="45">
        <v>5896.7</v>
      </c>
      <c r="AN198" s="2">
        <v>0</v>
      </c>
      <c r="AO198" s="2">
        <v>40209.21</v>
      </c>
      <c r="AP198" s="1">
        <v>0</v>
      </c>
      <c r="AQ198" s="1">
        <v>6319.78</v>
      </c>
      <c r="AR198" s="24">
        <v>0</v>
      </c>
      <c r="AS198" s="24">
        <v>6117.26</v>
      </c>
      <c r="AT198" s="1">
        <v>0</v>
      </c>
      <c r="AU198" s="1">
        <v>3761.26</v>
      </c>
      <c r="AV198" s="24">
        <v>0</v>
      </c>
      <c r="AW198" s="24">
        <v>6013.44</v>
      </c>
      <c r="AX198" s="45">
        <v>0</v>
      </c>
      <c r="AY198" s="45">
        <v>3761.26</v>
      </c>
      <c r="AZ198" s="24">
        <v>0</v>
      </c>
      <c r="BA198" s="24">
        <v>9953.3</v>
      </c>
      <c r="BB198" s="24">
        <v>0</v>
      </c>
      <c r="BC198" s="24">
        <v>10488.71</v>
      </c>
      <c r="BD198" s="24">
        <v>0</v>
      </c>
      <c r="BE198" s="24">
        <v>11660.39</v>
      </c>
      <c r="BF198" s="24">
        <v>0</v>
      </c>
      <c r="BG198" s="24">
        <v>9864.47</v>
      </c>
      <c r="BH198" s="24">
        <v>0</v>
      </c>
      <c r="BI198" s="24">
        <v>35105.03</v>
      </c>
      <c r="BJ198" s="9">
        <f t="shared" si="74"/>
        <v>0</v>
      </c>
      <c r="BK198" s="9">
        <f t="shared" si="75"/>
        <v>149150.81</v>
      </c>
      <c r="BL198" s="153">
        <f t="shared" si="76"/>
        <v>149150.81</v>
      </c>
      <c r="BM198" s="154"/>
      <c r="BN198" s="154"/>
      <c r="BO198" s="154"/>
      <c r="BP198" s="154"/>
      <c r="BQ198" s="154"/>
      <c r="BR198" s="155">
        <f t="shared" si="91"/>
        <v>149150.81</v>
      </c>
      <c r="BS198" s="198">
        <v>943.96</v>
      </c>
      <c r="BT198" s="199">
        <v>4128</v>
      </c>
      <c r="BU198" s="20">
        <f t="shared" si="90"/>
        <v>-193559.03000000003</v>
      </c>
      <c r="BV198" s="231">
        <v>66085.08</v>
      </c>
      <c r="BW198" s="229"/>
      <c r="BX198" s="230"/>
    </row>
    <row r="199" spans="1:76" ht="15.75">
      <c r="A199" s="1">
        <v>192</v>
      </c>
      <c r="B199" s="1" t="s">
        <v>178</v>
      </c>
      <c r="C199" s="27">
        <v>1238.8</v>
      </c>
      <c r="D199" s="1">
        <v>153</v>
      </c>
      <c r="E199" s="1">
        <f t="shared" si="78"/>
        <v>1391.8</v>
      </c>
      <c r="F199" s="2">
        <v>13.78</v>
      </c>
      <c r="G199" s="2">
        <f t="shared" si="69"/>
        <v>19179.003999999997</v>
      </c>
      <c r="H199" s="2">
        <f t="shared" si="71"/>
        <v>115074.02399999998</v>
      </c>
      <c r="I199" s="2">
        <f t="shared" si="79"/>
        <v>13.78</v>
      </c>
      <c r="J199" s="2">
        <f t="shared" si="80"/>
        <v>19179.003999999997</v>
      </c>
      <c r="K199" s="2">
        <f t="shared" si="72"/>
        <v>115074.02399999998</v>
      </c>
      <c r="L199" s="97">
        <f t="shared" si="77"/>
        <v>230148.04799999995</v>
      </c>
      <c r="M199" s="109">
        <v>3.92</v>
      </c>
      <c r="N199" s="89">
        <f t="shared" si="81"/>
        <v>65470.272</v>
      </c>
      <c r="O199" s="64">
        <v>1.46</v>
      </c>
      <c r="P199" s="90">
        <f t="shared" si="82"/>
        <v>24384.335999999996</v>
      </c>
      <c r="Q199" s="64"/>
      <c r="R199" s="90">
        <f t="shared" si="83"/>
        <v>0</v>
      </c>
      <c r="S199" s="64"/>
      <c r="T199" s="91">
        <f t="shared" si="84"/>
        <v>0</v>
      </c>
      <c r="U199" s="64">
        <v>0</v>
      </c>
      <c r="V199" s="90">
        <f t="shared" si="85"/>
        <v>0</v>
      </c>
      <c r="W199" s="96"/>
      <c r="X199" s="91">
        <f t="shared" si="86"/>
        <v>0</v>
      </c>
      <c r="Y199" s="110">
        <f t="shared" si="89"/>
        <v>89854.608</v>
      </c>
      <c r="Z199" s="32"/>
      <c r="AA199" s="12">
        <f t="shared" si="87"/>
        <v>0</v>
      </c>
      <c r="AB199" s="25">
        <f t="shared" si="88"/>
        <v>230148.04799999995</v>
      </c>
      <c r="AC199" s="44"/>
      <c r="AD199" s="8">
        <f t="shared" si="73"/>
        <v>230148.04799999995</v>
      </c>
      <c r="AE199" s="167">
        <v>48198.144</v>
      </c>
      <c r="AF199" s="168">
        <v>0</v>
      </c>
      <c r="AG199" s="168">
        <v>19179.003999999997</v>
      </c>
      <c r="AH199" s="168">
        <v>0</v>
      </c>
      <c r="AI199" s="168">
        <v>230148.04799999995</v>
      </c>
      <c r="AJ199" s="59" t="s">
        <v>296</v>
      </c>
      <c r="AK199" s="59"/>
      <c r="AL199" s="45">
        <v>0</v>
      </c>
      <c r="AM199" s="45">
        <v>4030.43</v>
      </c>
      <c r="AN199" s="2">
        <v>0</v>
      </c>
      <c r="AO199" s="2">
        <v>5363.62</v>
      </c>
      <c r="AP199" s="1">
        <v>0</v>
      </c>
      <c r="AQ199" s="1">
        <v>30458.16</v>
      </c>
      <c r="AR199" s="24">
        <v>0</v>
      </c>
      <c r="AS199" s="24">
        <v>5306.43</v>
      </c>
      <c r="AT199" s="1">
        <v>0</v>
      </c>
      <c r="AU199" s="1">
        <v>21772.93</v>
      </c>
      <c r="AV199" s="24">
        <v>0</v>
      </c>
      <c r="AW199" s="24">
        <v>4065.43</v>
      </c>
      <c r="AX199" s="45">
        <v>0</v>
      </c>
      <c r="AY199" s="45">
        <v>5102.9</v>
      </c>
      <c r="AZ199" s="24">
        <v>0</v>
      </c>
      <c r="BA199" s="24">
        <v>4030.43</v>
      </c>
      <c r="BB199" s="24">
        <v>0</v>
      </c>
      <c r="BC199" s="24">
        <v>7231.64</v>
      </c>
      <c r="BD199" s="24">
        <v>0</v>
      </c>
      <c r="BE199" s="24">
        <v>8479.13</v>
      </c>
      <c r="BF199" s="24">
        <v>0</v>
      </c>
      <c r="BG199" s="24">
        <v>6445.95</v>
      </c>
      <c r="BH199" s="24">
        <v>0</v>
      </c>
      <c r="BI199" s="24">
        <v>7576.93</v>
      </c>
      <c r="BJ199" s="9">
        <f t="shared" si="74"/>
        <v>0</v>
      </c>
      <c r="BK199" s="9">
        <f t="shared" si="75"/>
        <v>109863.97999999998</v>
      </c>
      <c r="BL199" s="153">
        <f t="shared" si="76"/>
        <v>109863.97999999998</v>
      </c>
      <c r="BM199" s="154"/>
      <c r="BN199" s="154"/>
      <c r="BO199" s="154"/>
      <c r="BP199" s="154"/>
      <c r="BQ199" s="154"/>
      <c r="BR199" s="155">
        <f t="shared" si="91"/>
        <v>109863.97999999998</v>
      </c>
      <c r="BS199" s="198">
        <v>3023.73</v>
      </c>
      <c r="BT199" s="199"/>
      <c r="BU199" s="20">
        <f t="shared" si="90"/>
        <v>123307.79799999997</v>
      </c>
      <c r="BV199" s="231">
        <v>75185.08</v>
      </c>
      <c r="BW199" s="229"/>
      <c r="BX199" s="230"/>
    </row>
    <row r="200" spans="1:76" ht="15.75">
      <c r="A200" s="1">
        <v>193</v>
      </c>
      <c r="B200" s="1" t="s">
        <v>179</v>
      </c>
      <c r="C200" s="27">
        <v>1956.4</v>
      </c>
      <c r="D200" s="1">
        <v>608.2</v>
      </c>
      <c r="E200" s="1">
        <f t="shared" si="78"/>
        <v>2564.6000000000004</v>
      </c>
      <c r="F200" s="2">
        <v>15.13</v>
      </c>
      <c r="G200" s="2">
        <f t="shared" si="69"/>
        <v>38802.39800000001</v>
      </c>
      <c r="H200" s="2">
        <f t="shared" si="71"/>
        <v>232814.38800000004</v>
      </c>
      <c r="I200" s="2">
        <f t="shared" si="79"/>
        <v>15.13</v>
      </c>
      <c r="J200" s="2">
        <f t="shared" si="80"/>
        <v>38802.39800000001</v>
      </c>
      <c r="K200" s="2">
        <f t="shared" si="72"/>
        <v>232814.38800000004</v>
      </c>
      <c r="L200" s="97">
        <f t="shared" si="77"/>
        <v>465628.77600000007</v>
      </c>
      <c r="M200" s="109">
        <v>3.92</v>
      </c>
      <c r="N200" s="89">
        <f t="shared" si="81"/>
        <v>120638.78400000001</v>
      </c>
      <c r="O200" s="64">
        <v>1.46</v>
      </c>
      <c r="P200" s="90">
        <f t="shared" si="82"/>
        <v>44931.792</v>
      </c>
      <c r="Q200" s="64"/>
      <c r="R200" s="90">
        <f t="shared" si="83"/>
        <v>0</v>
      </c>
      <c r="S200" s="64"/>
      <c r="T200" s="91">
        <f t="shared" si="84"/>
        <v>0</v>
      </c>
      <c r="U200" s="64">
        <v>0.6</v>
      </c>
      <c r="V200" s="90">
        <f t="shared" si="85"/>
        <v>18465.120000000003</v>
      </c>
      <c r="W200" s="96"/>
      <c r="X200" s="91">
        <f t="shared" si="86"/>
        <v>0</v>
      </c>
      <c r="Y200" s="110">
        <f t="shared" si="89"/>
        <v>184035.696</v>
      </c>
      <c r="Z200" s="32"/>
      <c r="AA200" s="12">
        <f t="shared" si="87"/>
        <v>0</v>
      </c>
      <c r="AB200" s="25">
        <f t="shared" si="88"/>
        <v>465628.77600000007</v>
      </c>
      <c r="AC200" s="166"/>
      <c r="AD200" s="8">
        <f t="shared" si="73"/>
        <v>465628.77600000007</v>
      </c>
      <c r="AE200" s="167">
        <v>165538.296</v>
      </c>
      <c r="AF200" s="168">
        <v>22379.19825995523</v>
      </c>
      <c r="AG200" s="168">
        <v>16423.19974004478</v>
      </c>
      <c r="AH200" s="168">
        <v>268550.37911946274</v>
      </c>
      <c r="AI200" s="168">
        <v>197078.39688053736</v>
      </c>
      <c r="AJ200" s="59"/>
      <c r="AK200" s="59"/>
      <c r="AL200" s="45">
        <v>5906.85</v>
      </c>
      <c r="AM200" s="45">
        <v>7225.35</v>
      </c>
      <c r="AN200" s="2">
        <v>32503.38</v>
      </c>
      <c r="AO200" s="2">
        <v>12038.54</v>
      </c>
      <c r="AP200" s="1">
        <v>9173.95</v>
      </c>
      <c r="AQ200" s="1">
        <v>7225.35</v>
      </c>
      <c r="AR200" s="24">
        <v>6658.85</v>
      </c>
      <c r="AS200" s="24">
        <v>8501.35</v>
      </c>
      <c r="AT200" s="1">
        <v>10633.96</v>
      </c>
      <c r="AU200" s="1">
        <v>7225.35</v>
      </c>
      <c r="AV200" s="24">
        <v>13199.32</v>
      </c>
      <c r="AW200" s="24">
        <v>7225.35</v>
      </c>
      <c r="AX200" s="45">
        <v>10633.96</v>
      </c>
      <c r="AY200" s="45">
        <v>19545.57</v>
      </c>
      <c r="AZ200" s="24">
        <v>12174.2</v>
      </c>
      <c r="BA200" s="24">
        <v>8725.35</v>
      </c>
      <c r="BB200" s="24">
        <v>15207.2</v>
      </c>
      <c r="BC200" s="24">
        <v>14234.58</v>
      </c>
      <c r="BD200" s="24">
        <v>5597.06</v>
      </c>
      <c r="BE200" s="24">
        <v>12660.27</v>
      </c>
      <c r="BF200" s="24">
        <v>7327.05</v>
      </c>
      <c r="BG200" s="24">
        <v>17594.5</v>
      </c>
      <c r="BH200" s="24">
        <v>8775.48</v>
      </c>
      <c r="BI200" s="24">
        <v>7225.35</v>
      </c>
      <c r="BJ200" s="9">
        <f t="shared" si="74"/>
        <v>137791.25999999998</v>
      </c>
      <c r="BK200" s="9">
        <f t="shared" si="75"/>
        <v>129426.91</v>
      </c>
      <c r="BL200" s="153">
        <f t="shared" si="76"/>
        <v>267218.17</v>
      </c>
      <c r="BM200" s="154"/>
      <c r="BN200" s="154"/>
      <c r="BO200" s="154"/>
      <c r="BP200" s="154"/>
      <c r="BQ200" s="154"/>
      <c r="BR200" s="155">
        <f t="shared" si="91"/>
        <v>267218.17</v>
      </c>
      <c r="BS200" s="198">
        <v>1867.19</v>
      </c>
      <c r="BT200" s="199">
        <v>4128</v>
      </c>
      <c r="BU200" s="20">
        <f t="shared" si="90"/>
        <v>200277.7960000001</v>
      </c>
      <c r="BV200" s="231">
        <v>117342.52</v>
      </c>
      <c r="BW200" s="229"/>
      <c r="BX200" s="230"/>
    </row>
    <row r="201" spans="1:76" ht="15.75">
      <c r="A201" s="1">
        <v>194</v>
      </c>
      <c r="B201" s="1" t="s">
        <v>180</v>
      </c>
      <c r="C201" s="1">
        <v>1840.3</v>
      </c>
      <c r="D201" s="1">
        <v>82.7</v>
      </c>
      <c r="E201" s="1">
        <f t="shared" si="78"/>
        <v>1923</v>
      </c>
      <c r="F201" s="2">
        <v>15.22</v>
      </c>
      <c r="G201" s="2">
        <f t="shared" si="69"/>
        <v>29268.06</v>
      </c>
      <c r="H201" s="2">
        <f t="shared" si="71"/>
        <v>175608.36000000002</v>
      </c>
      <c r="I201" s="2">
        <f t="shared" si="79"/>
        <v>15.22</v>
      </c>
      <c r="J201" s="2">
        <f t="shared" si="80"/>
        <v>29268.06</v>
      </c>
      <c r="K201" s="2">
        <f t="shared" si="72"/>
        <v>175608.36000000002</v>
      </c>
      <c r="L201" s="97">
        <f t="shared" si="77"/>
        <v>351216.72000000003</v>
      </c>
      <c r="M201" s="109">
        <v>3.92</v>
      </c>
      <c r="N201" s="89">
        <f t="shared" si="81"/>
        <v>90457.92</v>
      </c>
      <c r="O201" s="64">
        <v>1.46</v>
      </c>
      <c r="P201" s="90">
        <f t="shared" si="82"/>
        <v>33690.96</v>
      </c>
      <c r="Q201" s="64"/>
      <c r="R201" s="90">
        <f t="shared" si="83"/>
        <v>0</v>
      </c>
      <c r="S201" s="64"/>
      <c r="T201" s="91">
        <f t="shared" si="84"/>
        <v>0</v>
      </c>
      <c r="U201" s="64">
        <v>0.18</v>
      </c>
      <c r="V201" s="90">
        <f t="shared" si="85"/>
        <v>4153.68</v>
      </c>
      <c r="W201" s="96"/>
      <c r="X201" s="91">
        <f t="shared" si="86"/>
        <v>0</v>
      </c>
      <c r="Y201" s="110">
        <f t="shared" si="89"/>
        <v>128302.56</v>
      </c>
      <c r="Z201" s="32"/>
      <c r="AA201" s="12">
        <f t="shared" si="87"/>
        <v>0</v>
      </c>
      <c r="AB201" s="25">
        <f t="shared" si="88"/>
        <v>351216.72000000003</v>
      </c>
      <c r="AC201" s="44"/>
      <c r="AD201" s="8">
        <f t="shared" si="73"/>
        <v>351216.72000000003</v>
      </c>
      <c r="AE201" s="167">
        <v>126908.88000000002</v>
      </c>
      <c r="AF201" s="168">
        <v>0</v>
      </c>
      <c r="AG201" s="168">
        <v>29268.06</v>
      </c>
      <c r="AH201" s="168">
        <v>0</v>
      </c>
      <c r="AI201" s="168">
        <v>351216.72000000003</v>
      </c>
      <c r="AJ201" s="59"/>
      <c r="AK201" s="59"/>
      <c r="AL201" s="45">
        <v>0</v>
      </c>
      <c r="AM201" s="45">
        <v>8941.19</v>
      </c>
      <c r="AN201" s="2">
        <v>0</v>
      </c>
      <c r="AO201" s="2">
        <v>25428.56</v>
      </c>
      <c r="AP201" s="1">
        <v>0</v>
      </c>
      <c r="AQ201" s="1">
        <v>11687.21</v>
      </c>
      <c r="AR201" s="24">
        <v>0</v>
      </c>
      <c r="AS201" s="24">
        <v>10217.19</v>
      </c>
      <c r="AT201" s="1">
        <v>0</v>
      </c>
      <c r="AU201" s="1">
        <v>22200.26</v>
      </c>
      <c r="AV201" s="24">
        <v>0</v>
      </c>
      <c r="AW201" s="24">
        <v>11921.84</v>
      </c>
      <c r="AX201" s="45">
        <v>0</v>
      </c>
      <c r="AY201" s="45">
        <v>25229.4</v>
      </c>
      <c r="AZ201" s="24">
        <v>0</v>
      </c>
      <c r="BA201" s="24">
        <v>130482.97</v>
      </c>
      <c r="BB201" s="24">
        <v>0</v>
      </c>
      <c r="BC201" s="24">
        <v>27629.05</v>
      </c>
      <c r="BD201" s="24">
        <v>0</v>
      </c>
      <c r="BE201" s="24">
        <v>23272.54</v>
      </c>
      <c r="BF201" s="24">
        <v>0</v>
      </c>
      <c r="BG201" s="24">
        <v>60204.19</v>
      </c>
      <c r="BH201" s="24">
        <v>0</v>
      </c>
      <c r="BI201" s="24">
        <v>74707.39</v>
      </c>
      <c r="BJ201" s="9">
        <f t="shared" si="74"/>
        <v>0</v>
      </c>
      <c r="BK201" s="9">
        <f t="shared" si="75"/>
        <v>431921.79</v>
      </c>
      <c r="BL201" s="153">
        <f t="shared" si="76"/>
        <v>431921.79</v>
      </c>
      <c r="BM201" s="154"/>
      <c r="BN201" s="154"/>
      <c r="BO201" s="154"/>
      <c r="BP201" s="154"/>
      <c r="BQ201" s="154"/>
      <c r="BR201" s="155">
        <f t="shared" si="91"/>
        <v>431921.79</v>
      </c>
      <c r="BS201" s="198">
        <v>1403.79</v>
      </c>
      <c r="BT201" s="199">
        <v>4128</v>
      </c>
      <c r="BU201" s="20">
        <f t="shared" si="90"/>
        <v>-79301.27999999996</v>
      </c>
      <c r="BV201" s="231">
        <v>127521.33</v>
      </c>
      <c r="BW201" s="229"/>
      <c r="BX201" s="230"/>
    </row>
    <row r="202" spans="1:76" ht="15.75">
      <c r="A202" s="1">
        <v>195</v>
      </c>
      <c r="B202" s="1" t="s">
        <v>181</v>
      </c>
      <c r="C202" s="1">
        <v>2050.6</v>
      </c>
      <c r="D202" s="1">
        <v>489.5</v>
      </c>
      <c r="E202" s="1">
        <f t="shared" si="78"/>
        <v>2540.1</v>
      </c>
      <c r="F202" s="2">
        <v>14.8</v>
      </c>
      <c r="G202" s="2">
        <f t="shared" si="69"/>
        <v>37593.48</v>
      </c>
      <c r="H202" s="2">
        <f t="shared" si="71"/>
        <v>225560.88</v>
      </c>
      <c r="I202" s="2">
        <f t="shared" si="79"/>
        <v>14.8</v>
      </c>
      <c r="J202" s="2">
        <f t="shared" si="80"/>
        <v>37593.48</v>
      </c>
      <c r="K202" s="2">
        <f t="shared" si="72"/>
        <v>225560.88</v>
      </c>
      <c r="L202" s="97">
        <f t="shared" si="77"/>
        <v>451121.76</v>
      </c>
      <c r="M202" s="109">
        <v>3.92</v>
      </c>
      <c r="N202" s="89">
        <f t="shared" si="81"/>
        <v>119486.30399999999</v>
      </c>
      <c r="O202" s="64">
        <v>1.46</v>
      </c>
      <c r="P202" s="90">
        <f t="shared" si="82"/>
        <v>44502.551999999996</v>
      </c>
      <c r="Q202" s="64"/>
      <c r="R202" s="90">
        <f t="shared" si="83"/>
        <v>0</v>
      </c>
      <c r="S202" s="64"/>
      <c r="T202" s="91">
        <f t="shared" si="84"/>
        <v>0</v>
      </c>
      <c r="U202" s="64">
        <v>0.59</v>
      </c>
      <c r="V202" s="90">
        <f t="shared" si="85"/>
        <v>17983.908</v>
      </c>
      <c r="W202" s="96"/>
      <c r="X202" s="91">
        <f t="shared" si="86"/>
        <v>0</v>
      </c>
      <c r="Y202" s="110">
        <f t="shared" si="89"/>
        <v>181972.76399999997</v>
      </c>
      <c r="Z202" s="32">
        <v>-1109452.74</v>
      </c>
      <c r="AA202" s="12">
        <f t="shared" si="87"/>
        <v>-2.459319940585442</v>
      </c>
      <c r="AB202" s="25">
        <f t="shared" si="88"/>
        <v>-658330.98</v>
      </c>
      <c r="AC202" s="44"/>
      <c r="AD202" s="8">
        <f t="shared" si="73"/>
        <v>-658330.98</v>
      </c>
      <c r="AE202" s="167">
        <v>166748.85600000003</v>
      </c>
      <c r="AF202" s="168">
        <v>0</v>
      </c>
      <c r="AG202" s="168">
        <v>13895.738000000003</v>
      </c>
      <c r="AH202" s="168">
        <v>0</v>
      </c>
      <c r="AI202" s="168">
        <v>166748.85600000003</v>
      </c>
      <c r="AJ202" s="59"/>
      <c r="AK202" s="26" t="s">
        <v>352</v>
      </c>
      <c r="AL202" s="45">
        <v>0</v>
      </c>
      <c r="AM202" s="45">
        <v>13839.08</v>
      </c>
      <c r="AN202" s="2">
        <v>0</v>
      </c>
      <c r="AO202" s="2">
        <v>16847.6</v>
      </c>
      <c r="AP202" s="1">
        <v>0</v>
      </c>
      <c r="AQ202" s="1">
        <v>9503.91</v>
      </c>
      <c r="AR202" s="24">
        <v>0</v>
      </c>
      <c r="AS202" s="24">
        <v>10710.84</v>
      </c>
      <c r="AT202" s="1">
        <v>0</v>
      </c>
      <c r="AU202" s="1">
        <v>7164.47</v>
      </c>
      <c r="AV202" s="24">
        <v>0</v>
      </c>
      <c r="AW202" s="24">
        <v>9807.43</v>
      </c>
      <c r="AX202" s="45">
        <v>0</v>
      </c>
      <c r="AY202" s="45">
        <v>104351.24</v>
      </c>
      <c r="AZ202" s="24">
        <v>0</v>
      </c>
      <c r="BA202" s="24">
        <v>65869.1</v>
      </c>
      <c r="BB202" s="24">
        <v>0</v>
      </c>
      <c r="BC202" s="24">
        <v>29405.08</v>
      </c>
      <c r="BD202" s="24">
        <v>0</v>
      </c>
      <c r="BE202" s="24">
        <v>66293.79</v>
      </c>
      <c r="BF202" s="24">
        <v>0</v>
      </c>
      <c r="BG202" s="24">
        <v>22537.06</v>
      </c>
      <c r="BH202" s="24">
        <v>0</v>
      </c>
      <c r="BI202" s="24">
        <v>14063.11</v>
      </c>
      <c r="BJ202" s="9">
        <f t="shared" si="74"/>
        <v>0</v>
      </c>
      <c r="BK202" s="9">
        <f t="shared" si="75"/>
        <v>370392.70999999996</v>
      </c>
      <c r="BL202" s="153">
        <f t="shared" si="76"/>
        <v>370392.70999999996</v>
      </c>
      <c r="BM202" s="154"/>
      <c r="BN202" s="154"/>
      <c r="BO202" s="154"/>
      <c r="BP202" s="154"/>
      <c r="BQ202" s="154"/>
      <c r="BR202" s="155">
        <f t="shared" si="91"/>
        <v>370392.70999999996</v>
      </c>
      <c r="BS202" s="198">
        <v>1853.4</v>
      </c>
      <c r="BT202" s="199">
        <v>17964</v>
      </c>
      <c r="BU202" s="20">
        <f t="shared" si="90"/>
        <v>-1026870.2899999999</v>
      </c>
      <c r="BV202" s="231">
        <v>433877.88</v>
      </c>
      <c r="BW202" s="229"/>
      <c r="BX202" s="230"/>
    </row>
    <row r="203" spans="1:76" ht="15.75">
      <c r="A203" s="1">
        <v>196</v>
      </c>
      <c r="B203" s="1" t="s">
        <v>182</v>
      </c>
      <c r="C203" s="1">
        <v>1638.03</v>
      </c>
      <c r="D203" s="1">
        <v>171.3</v>
      </c>
      <c r="E203" s="1">
        <f t="shared" si="78"/>
        <v>1809.33</v>
      </c>
      <c r="F203" s="2">
        <v>15.18</v>
      </c>
      <c r="G203" s="2">
        <f t="shared" si="69"/>
        <v>27465.629399999998</v>
      </c>
      <c r="H203" s="2">
        <f t="shared" si="71"/>
        <v>164793.77639999997</v>
      </c>
      <c r="I203" s="2">
        <f t="shared" si="79"/>
        <v>15.18</v>
      </c>
      <c r="J203" s="2">
        <f t="shared" si="80"/>
        <v>27465.629399999998</v>
      </c>
      <c r="K203" s="2">
        <f t="shared" si="72"/>
        <v>164793.77639999997</v>
      </c>
      <c r="L203" s="97">
        <f t="shared" si="77"/>
        <v>329587.55279999995</v>
      </c>
      <c r="M203" s="109">
        <v>3.92</v>
      </c>
      <c r="N203" s="89">
        <f t="shared" si="81"/>
        <v>85110.8832</v>
      </c>
      <c r="O203" s="64">
        <v>1.46</v>
      </c>
      <c r="P203" s="90">
        <f t="shared" si="82"/>
        <v>31699.4616</v>
      </c>
      <c r="Q203" s="64"/>
      <c r="R203" s="90">
        <f t="shared" si="83"/>
        <v>0</v>
      </c>
      <c r="S203" s="64"/>
      <c r="T203" s="91">
        <f t="shared" si="84"/>
        <v>0</v>
      </c>
      <c r="U203" s="64">
        <v>0.19</v>
      </c>
      <c r="V203" s="90">
        <f t="shared" si="85"/>
        <v>4125.2724</v>
      </c>
      <c r="W203" s="96"/>
      <c r="X203" s="91">
        <f t="shared" si="86"/>
        <v>0</v>
      </c>
      <c r="Y203" s="110">
        <f t="shared" si="89"/>
        <v>120935.6172</v>
      </c>
      <c r="Z203" s="32"/>
      <c r="AA203" s="12">
        <f t="shared" si="87"/>
        <v>0</v>
      </c>
      <c r="AB203" s="25">
        <f t="shared" si="88"/>
        <v>329587.55279999995</v>
      </c>
      <c r="AC203" s="44"/>
      <c r="AD203" s="8">
        <f t="shared" si="73"/>
        <v>329587.55279999995</v>
      </c>
      <c r="AE203" s="167">
        <v>61816.5312</v>
      </c>
      <c r="AF203" s="168">
        <v>0</v>
      </c>
      <c r="AG203" s="168">
        <v>27465.629399999994</v>
      </c>
      <c r="AH203" s="168">
        <v>0</v>
      </c>
      <c r="AI203" s="168">
        <v>329587.55279999995</v>
      </c>
      <c r="AJ203" s="59" t="s">
        <v>296</v>
      </c>
      <c r="AK203" s="59"/>
      <c r="AL203" s="45">
        <v>0</v>
      </c>
      <c r="AM203" s="45">
        <v>16762.6</v>
      </c>
      <c r="AN203" s="2">
        <v>0</v>
      </c>
      <c r="AO203" s="2">
        <v>8242.66</v>
      </c>
      <c r="AP203" s="1">
        <v>0</v>
      </c>
      <c r="AQ203" s="1">
        <v>45967.67</v>
      </c>
      <c r="AR203" s="24">
        <v>0</v>
      </c>
      <c r="AS203" s="24">
        <v>16267.8</v>
      </c>
      <c r="AT203" s="1">
        <v>0</v>
      </c>
      <c r="AU203" s="1">
        <v>71969.81</v>
      </c>
      <c r="AV203" s="24">
        <v>0</v>
      </c>
      <c r="AW203" s="24">
        <v>5169.47</v>
      </c>
      <c r="AX203" s="45">
        <v>0</v>
      </c>
      <c r="AY203" s="45">
        <v>5816.97</v>
      </c>
      <c r="AZ203" s="24">
        <v>0</v>
      </c>
      <c r="BA203" s="24">
        <v>15534.44</v>
      </c>
      <c r="BB203" s="24">
        <v>0</v>
      </c>
      <c r="BC203" s="24">
        <v>10068.37</v>
      </c>
      <c r="BD203" s="24">
        <v>0</v>
      </c>
      <c r="BE203" s="24">
        <v>10034.08</v>
      </c>
      <c r="BF203" s="24">
        <v>0</v>
      </c>
      <c r="BG203" s="24">
        <v>11056.68</v>
      </c>
      <c r="BH203" s="24">
        <v>0</v>
      </c>
      <c r="BI203" s="24">
        <v>5169.47</v>
      </c>
      <c r="BJ203" s="9">
        <f t="shared" si="74"/>
        <v>0</v>
      </c>
      <c r="BK203" s="9">
        <f t="shared" si="75"/>
        <v>222060.01999999996</v>
      </c>
      <c r="BL203" s="153">
        <f t="shared" si="76"/>
        <v>222060.01999999996</v>
      </c>
      <c r="BM203" s="154"/>
      <c r="BN203" s="154"/>
      <c r="BO203" s="154"/>
      <c r="BP203" s="154"/>
      <c r="BQ203" s="154"/>
      <c r="BR203" s="155">
        <f t="shared" si="91"/>
        <v>222060.01999999996</v>
      </c>
      <c r="BS203" s="198">
        <v>3964.56</v>
      </c>
      <c r="BT203" s="199">
        <v>4128</v>
      </c>
      <c r="BU203" s="20">
        <f t="shared" si="90"/>
        <v>111492.09279999998</v>
      </c>
      <c r="BV203" s="231">
        <v>576641.4</v>
      </c>
      <c r="BW203" s="229"/>
      <c r="BX203" s="230"/>
    </row>
    <row r="204" spans="1:76" ht="15.75">
      <c r="A204" s="1">
        <v>197</v>
      </c>
      <c r="B204" s="1" t="s">
        <v>183</v>
      </c>
      <c r="C204" s="1">
        <v>1567.3</v>
      </c>
      <c r="D204" s="1">
        <v>250.2</v>
      </c>
      <c r="E204" s="1">
        <f t="shared" si="78"/>
        <v>1817.5</v>
      </c>
      <c r="F204" s="2">
        <v>15.18</v>
      </c>
      <c r="G204" s="2">
        <f t="shared" si="69"/>
        <v>27589.649999999998</v>
      </c>
      <c r="H204" s="2">
        <f t="shared" si="71"/>
        <v>165537.9</v>
      </c>
      <c r="I204" s="2">
        <f t="shared" si="79"/>
        <v>15.18</v>
      </c>
      <c r="J204" s="2">
        <f t="shared" si="80"/>
        <v>27589.649999999998</v>
      </c>
      <c r="K204" s="2">
        <f t="shared" si="72"/>
        <v>165537.9</v>
      </c>
      <c r="L204" s="97">
        <f t="shared" si="77"/>
        <v>331075.8</v>
      </c>
      <c r="M204" s="109">
        <v>3.92</v>
      </c>
      <c r="N204" s="89">
        <f t="shared" si="81"/>
        <v>85495.2</v>
      </c>
      <c r="O204" s="64">
        <v>1.46</v>
      </c>
      <c r="P204" s="90">
        <f t="shared" si="82"/>
        <v>31842.6</v>
      </c>
      <c r="Q204" s="64"/>
      <c r="R204" s="90">
        <f t="shared" si="83"/>
        <v>0</v>
      </c>
      <c r="S204" s="64"/>
      <c r="T204" s="91">
        <f t="shared" si="84"/>
        <v>0</v>
      </c>
      <c r="U204" s="64">
        <v>0.82</v>
      </c>
      <c r="V204" s="90">
        <f t="shared" si="85"/>
        <v>17884.199999999997</v>
      </c>
      <c r="W204" s="96"/>
      <c r="X204" s="91">
        <f t="shared" si="86"/>
        <v>0</v>
      </c>
      <c r="Y204" s="110">
        <f t="shared" si="89"/>
        <v>135222</v>
      </c>
      <c r="Z204" s="32">
        <v>-718652.55</v>
      </c>
      <c r="AA204" s="12">
        <f t="shared" si="87"/>
        <v>-2.1706586527918987</v>
      </c>
      <c r="AB204" s="25">
        <f t="shared" si="88"/>
        <v>-387576.75000000006</v>
      </c>
      <c r="AC204" s="44"/>
      <c r="AD204" s="8">
        <f t="shared" si="73"/>
        <v>-387576.75000000006</v>
      </c>
      <c r="AE204" s="167">
        <v>120097.80000000002</v>
      </c>
      <c r="AF204" s="168">
        <v>0</v>
      </c>
      <c r="AG204" s="168">
        <v>10008.150000000001</v>
      </c>
      <c r="AH204" s="168">
        <v>0</v>
      </c>
      <c r="AI204" s="168">
        <v>120097.80000000002</v>
      </c>
      <c r="AJ204" s="59"/>
      <c r="AK204" s="26" t="s">
        <v>352</v>
      </c>
      <c r="AL204" s="45">
        <v>0</v>
      </c>
      <c r="AM204" s="45">
        <v>8735.9</v>
      </c>
      <c r="AN204" s="2">
        <v>0</v>
      </c>
      <c r="AO204" s="2">
        <v>11809.09</v>
      </c>
      <c r="AP204" s="1">
        <v>0</v>
      </c>
      <c r="AQ204" s="1">
        <v>105459.18</v>
      </c>
      <c r="AR204" s="24">
        <v>0</v>
      </c>
      <c r="AS204" s="24">
        <v>29169.57</v>
      </c>
      <c r="AT204" s="1">
        <v>0</v>
      </c>
      <c r="AU204" s="1">
        <v>13173.15</v>
      </c>
      <c r="AV204" s="24">
        <v>0</v>
      </c>
      <c r="AW204" s="24">
        <v>15587.81</v>
      </c>
      <c r="AX204" s="45">
        <v>0</v>
      </c>
      <c r="AY204" s="45">
        <v>28960.73</v>
      </c>
      <c r="AZ204" s="24">
        <v>0</v>
      </c>
      <c r="BA204" s="24">
        <v>28737.6</v>
      </c>
      <c r="BB204" s="24">
        <v>0</v>
      </c>
      <c r="BC204" s="24">
        <v>16192.55</v>
      </c>
      <c r="BD204" s="24">
        <v>0</v>
      </c>
      <c r="BE204" s="24">
        <v>25234.73</v>
      </c>
      <c r="BF204" s="24">
        <v>0</v>
      </c>
      <c r="BG204" s="24">
        <v>18423.88</v>
      </c>
      <c r="BH204" s="24">
        <v>0</v>
      </c>
      <c r="BI204" s="24">
        <v>9009.68</v>
      </c>
      <c r="BJ204" s="9">
        <f t="shared" si="74"/>
        <v>0</v>
      </c>
      <c r="BK204" s="9">
        <f t="shared" si="75"/>
        <v>310493.87</v>
      </c>
      <c r="BL204" s="153">
        <f t="shared" si="76"/>
        <v>310493.87</v>
      </c>
      <c r="BM204" s="154"/>
      <c r="BN204" s="154"/>
      <c r="BO204" s="154"/>
      <c r="BP204" s="154"/>
      <c r="BQ204" s="154"/>
      <c r="BR204" s="155">
        <f t="shared" si="91"/>
        <v>310493.87</v>
      </c>
      <c r="BS204" s="198">
        <v>3980.33</v>
      </c>
      <c r="BT204" s="199">
        <v>4128</v>
      </c>
      <c r="BU204" s="20">
        <f t="shared" si="90"/>
        <v>-694090.2900000002</v>
      </c>
      <c r="BV204" s="231">
        <v>135198.05</v>
      </c>
      <c r="BW204" s="229"/>
      <c r="BX204" s="230"/>
    </row>
    <row r="205" spans="1:76" ht="15.75">
      <c r="A205" s="1">
        <v>198</v>
      </c>
      <c r="B205" s="1" t="s">
        <v>184</v>
      </c>
      <c r="C205" s="1">
        <v>9195.4</v>
      </c>
      <c r="D205" s="1">
        <v>680.4</v>
      </c>
      <c r="E205" s="1">
        <f t="shared" si="78"/>
        <v>9875.8</v>
      </c>
      <c r="F205" s="2">
        <v>15.87</v>
      </c>
      <c r="G205" s="2">
        <f t="shared" si="69"/>
        <v>156728.94599999997</v>
      </c>
      <c r="H205" s="2">
        <f t="shared" si="71"/>
        <v>940373.6759999997</v>
      </c>
      <c r="I205" s="2">
        <f t="shared" si="79"/>
        <v>15.87</v>
      </c>
      <c r="J205" s="2">
        <f t="shared" si="80"/>
        <v>156728.94599999997</v>
      </c>
      <c r="K205" s="2">
        <f t="shared" si="72"/>
        <v>940373.6759999997</v>
      </c>
      <c r="L205" s="97">
        <f t="shared" si="77"/>
        <v>1880747.3519999995</v>
      </c>
      <c r="M205" s="109">
        <v>3.92</v>
      </c>
      <c r="N205" s="89">
        <f t="shared" si="81"/>
        <v>464557.632</v>
      </c>
      <c r="O205" s="64">
        <v>1.46</v>
      </c>
      <c r="P205" s="90">
        <f t="shared" si="82"/>
        <v>173024.01599999997</v>
      </c>
      <c r="Q205" s="64"/>
      <c r="R205" s="90">
        <f t="shared" si="83"/>
        <v>0</v>
      </c>
      <c r="S205" s="64"/>
      <c r="T205" s="91">
        <f t="shared" si="84"/>
        <v>0</v>
      </c>
      <c r="U205" s="64">
        <v>0.33</v>
      </c>
      <c r="V205" s="90">
        <f t="shared" si="85"/>
        <v>39108.168000000005</v>
      </c>
      <c r="W205" s="96"/>
      <c r="X205" s="91">
        <f t="shared" si="86"/>
        <v>0</v>
      </c>
      <c r="Y205" s="110">
        <f t="shared" si="89"/>
        <v>676689.8159999999</v>
      </c>
      <c r="Z205" s="32"/>
      <c r="AA205" s="12">
        <f t="shared" si="87"/>
        <v>0</v>
      </c>
      <c r="AB205" s="25">
        <f t="shared" si="88"/>
        <v>1880747.3519999995</v>
      </c>
      <c r="AC205" s="44"/>
      <c r="AD205" s="8">
        <f t="shared" si="73"/>
        <v>1880747.3519999995</v>
      </c>
      <c r="AE205" s="167">
        <v>645861.648</v>
      </c>
      <c r="AF205" s="168">
        <v>0</v>
      </c>
      <c r="AG205" s="168">
        <v>156728.94599999997</v>
      </c>
      <c r="AH205" s="168">
        <v>0</v>
      </c>
      <c r="AI205" s="168">
        <v>1880747.3519999995</v>
      </c>
      <c r="AJ205" s="59"/>
      <c r="AK205" s="59"/>
      <c r="AL205" s="45">
        <v>0</v>
      </c>
      <c r="AM205" s="45">
        <v>178978.22</v>
      </c>
      <c r="AN205" s="2">
        <v>0</v>
      </c>
      <c r="AO205" s="2">
        <v>59694.59</v>
      </c>
      <c r="AP205" s="1">
        <v>0</v>
      </c>
      <c r="AQ205" s="1">
        <v>53410.48</v>
      </c>
      <c r="AR205" s="24">
        <v>0</v>
      </c>
      <c r="AS205" s="24">
        <v>79705.76</v>
      </c>
      <c r="AT205" s="1">
        <v>0</v>
      </c>
      <c r="AU205" s="1">
        <v>243606.95</v>
      </c>
      <c r="AV205" s="24">
        <v>0</v>
      </c>
      <c r="AW205" s="24">
        <v>237001.29</v>
      </c>
      <c r="AX205" s="45">
        <v>0</v>
      </c>
      <c r="AY205" s="45">
        <v>70795.5</v>
      </c>
      <c r="AZ205" s="24">
        <v>0</v>
      </c>
      <c r="BA205" s="24">
        <v>154248.23</v>
      </c>
      <c r="BB205" s="24">
        <v>0</v>
      </c>
      <c r="BC205" s="24">
        <v>168530.62</v>
      </c>
      <c r="BD205" s="24">
        <v>0</v>
      </c>
      <c r="BE205" s="24">
        <v>63926.39</v>
      </c>
      <c r="BF205" s="24">
        <v>0</v>
      </c>
      <c r="BG205" s="24">
        <v>181856.41</v>
      </c>
      <c r="BH205" s="24">
        <v>0</v>
      </c>
      <c r="BI205" s="24">
        <v>79243.64</v>
      </c>
      <c r="BJ205" s="9">
        <f t="shared" si="74"/>
        <v>0</v>
      </c>
      <c r="BK205" s="9">
        <f t="shared" si="75"/>
        <v>1570998.0799999998</v>
      </c>
      <c r="BL205" s="153">
        <f t="shared" si="76"/>
        <v>1570998.0799999998</v>
      </c>
      <c r="BM205" s="154"/>
      <c r="BN205" s="154"/>
      <c r="BO205" s="154"/>
      <c r="BP205" s="154"/>
      <c r="BQ205" s="154"/>
      <c r="BR205" s="155">
        <f t="shared" si="91"/>
        <v>1570998.0799999998</v>
      </c>
      <c r="BS205" s="198">
        <v>14407.13</v>
      </c>
      <c r="BT205" s="199">
        <v>4128</v>
      </c>
      <c r="BU205" s="20">
        <f t="shared" si="90"/>
        <v>324156.40199999965</v>
      </c>
      <c r="BV205" s="231">
        <v>1414908.37</v>
      </c>
      <c r="BW205" s="229"/>
      <c r="BX205" s="230"/>
    </row>
    <row r="206" spans="1:76" ht="15.75">
      <c r="A206" s="1">
        <v>199</v>
      </c>
      <c r="B206" s="1" t="s">
        <v>185</v>
      </c>
      <c r="C206" s="1">
        <v>5428</v>
      </c>
      <c r="D206" s="1">
        <v>1453.7</v>
      </c>
      <c r="E206" s="1">
        <f t="shared" si="78"/>
        <v>6881.7</v>
      </c>
      <c r="F206" s="2">
        <v>15.18</v>
      </c>
      <c r="G206" s="2">
        <f t="shared" si="69"/>
        <v>104464.20599999999</v>
      </c>
      <c r="H206" s="2">
        <f t="shared" si="71"/>
        <v>626785.2359999999</v>
      </c>
      <c r="I206" s="2">
        <f t="shared" si="79"/>
        <v>15.18</v>
      </c>
      <c r="J206" s="2">
        <f t="shared" si="80"/>
        <v>104464.20599999999</v>
      </c>
      <c r="K206" s="2">
        <f t="shared" si="72"/>
        <v>626785.2359999999</v>
      </c>
      <c r="L206" s="97">
        <f t="shared" si="77"/>
        <v>1253570.4719999998</v>
      </c>
      <c r="M206" s="109">
        <v>3.92</v>
      </c>
      <c r="N206" s="89">
        <f t="shared" si="81"/>
        <v>323715.168</v>
      </c>
      <c r="O206" s="64">
        <v>1.46</v>
      </c>
      <c r="P206" s="90">
        <f t="shared" si="82"/>
        <v>120567.38399999999</v>
      </c>
      <c r="Q206" s="64"/>
      <c r="R206" s="90">
        <f t="shared" si="83"/>
        <v>0</v>
      </c>
      <c r="S206" s="64"/>
      <c r="T206" s="91">
        <f t="shared" si="84"/>
        <v>0</v>
      </c>
      <c r="U206" s="64">
        <v>0.27</v>
      </c>
      <c r="V206" s="90">
        <f t="shared" si="85"/>
        <v>22296.708</v>
      </c>
      <c r="W206" s="96"/>
      <c r="X206" s="91">
        <f t="shared" si="86"/>
        <v>0</v>
      </c>
      <c r="Y206" s="110">
        <f t="shared" si="89"/>
        <v>466579.26</v>
      </c>
      <c r="Z206" s="32">
        <v>-134664.01</v>
      </c>
      <c r="AA206" s="12">
        <f t="shared" si="87"/>
        <v>-0.10742436345453422</v>
      </c>
      <c r="AB206" s="25">
        <f t="shared" si="88"/>
        <v>1118906.4619999998</v>
      </c>
      <c r="AC206" s="44"/>
      <c r="AD206" s="8">
        <f t="shared" si="73"/>
        <v>1118906.4619999998</v>
      </c>
      <c r="AE206" s="167">
        <v>449799.324</v>
      </c>
      <c r="AF206" s="168">
        <v>54587.71894444409</v>
      </c>
      <c r="AG206" s="168">
        <v>38654.48622222257</v>
      </c>
      <c r="AH206" s="168">
        <v>655052.6273333291</v>
      </c>
      <c r="AI206" s="168">
        <v>463853.8346666708</v>
      </c>
      <c r="AJ206" s="59"/>
      <c r="AK206" s="26" t="s">
        <v>352</v>
      </c>
      <c r="AL206" s="45">
        <v>24231.93</v>
      </c>
      <c r="AM206" s="45">
        <v>26973.6</v>
      </c>
      <c r="AN206" s="2">
        <v>43558.15</v>
      </c>
      <c r="AO206" s="2">
        <v>24293.24</v>
      </c>
      <c r="AP206" s="1">
        <v>26543.37</v>
      </c>
      <c r="AQ206" s="1">
        <v>21907.82</v>
      </c>
      <c r="AR206" s="24">
        <v>21393.66</v>
      </c>
      <c r="AS206" s="24">
        <v>64424.25</v>
      </c>
      <c r="AT206" s="1">
        <v>35427.91</v>
      </c>
      <c r="AU206" s="1">
        <v>23565.51</v>
      </c>
      <c r="AV206" s="24">
        <v>45699.33</v>
      </c>
      <c r="AW206" s="24">
        <v>39385.57</v>
      </c>
      <c r="AX206" s="45">
        <v>23046.83</v>
      </c>
      <c r="AY206" s="45">
        <v>49509.82</v>
      </c>
      <c r="AZ206" s="24">
        <v>27749.1</v>
      </c>
      <c r="BA206" s="24">
        <v>30543</v>
      </c>
      <c r="BB206" s="24">
        <v>86495.22</v>
      </c>
      <c r="BC206" s="24">
        <v>22120.41</v>
      </c>
      <c r="BD206" s="24">
        <v>21558.01</v>
      </c>
      <c r="BE206" s="24">
        <v>38185.14</v>
      </c>
      <c r="BF206" s="24">
        <v>29072.1</v>
      </c>
      <c r="BG206" s="24">
        <v>56243.25</v>
      </c>
      <c r="BH206" s="24">
        <v>16352.79</v>
      </c>
      <c r="BI206" s="24">
        <v>43452.24</v>
      </c>
      <c r="BJ206" s="9">
        <f t="shared" si="74"/>
        <v>401128.4</v>
      </c>
      <c r="BK206" s="9">
        <f t="shared" si="75"/>
        <v>440603.85000000003</v>
      </c>
      <c r="BL206" s="153">
        <f t="shared" si="76"/>
        <v>841732.25</v>
      </c>
      <c r="BM206" s="154">
        <v>28481</v>
      </c>
      <c r="BN206" s="154">
        <f>248294.26+71624.1+116500</f>
        <v>436418.36</v>
      </c>
      <c r="BO206" s="154"/>
      <c r="BP206" s="154"/>
      <c r="BQ206" s="154"/>
      <c r="BR206" s="155">
        <f t="shared" si="91"/>
        <v>1306631.6099999999</v>
      </c>
      <c r="BS206" s="198">
        <v>5019.7</v>
      </c>
      <c r="BT206" s="199"/>
      <c r="BU206" s="20">
        <f t="shared" si="90"/>
        <v>-182705.44800000003</v>
      </c>
      <c r="BV206" s="231">
        <v>668789.26</v>
      </c>
      <c r="BW206" s="229"/>
      <c r="BX206" s="230"/>
    </row>
    <row r="207" spans="1:76" ht="15.75">
      <c r="A207" s="1">
        <v>200</v>
      </c>
      <c r="B207" s="1" t="s">
        <v>186</v>
      </c>
      <c r="C207" s="1">
        <v>2271.8</v>
      </c>
      <c r="D207" s="1">
        <v>517</v>
      </c>
      <c r="E207" s="1">
        <f t="shared" si="78"/>
        <v>2788.8</v>
      </c>
      <c r="F207" s="2">
        <v>14.67</v>
      </c>
      <c r="G207" s="2">
        <f t="shared" si="69"/>
        <v>40911.696</v>
      </c>
      <c r="H207" s="2">
        <f t="shared" si="71"/>
        <v>245470.17600000004</v>
      </c>
      <c r="I207" s="2">
        <f t="shared" si="79"/>
        <v>14.67</v>
      </c>
      <c r="J207" s="2">
        <f t="shared" si="80"/>
        <v>40911.696</v>
      </c>
      <c r="K207" s="2">
        <f t="shared" si="72"/>
        <v>245470.17600000004</v>
      </c>
      <c r="L207" s="97">
        <f t="shared" si="77"/>
        <v>490940.3520000001</v>
      </c>
      <c r="M207" s="109">
        <v>3.92</v>
      </c>
      <c r="N207" s="89">
        <f t="shared" si="81"/>
        <v>131185.152</v>
      </c>
      <c r="O207" s="64">
        <v>1.46</v>
      </c>
      <c r="P207" s="90">
        <f t="shared" si="82"/>
        <v>48859.776</v>
      </c>
      <c r="Q207" s="64"/>
      <c r="R207" s="90">
        <f t="shared" si="83"/>
        <v>0</v>
      </c>
      <c r="S207" s="64"/>
      <c r="T207" s="91">
        <f t="shared" si="84"/>
        <v>0</v>
      </c>
      <c r="U207" s="64">
        <v>0.57</v>
      </c>
      <c r="V207" s="90">
        <f t="shared" si="85"/>
        <v>19075.392</v>
      </c>
      <c r="W207" s="96"/>
      <c r="X207" s="91">
        <f t="shared" si="86"/>
        <v>0</v>
      </c>
      <c r="Y207" s="110">
        <f t="shared" si="89"/>
        <v>199120.32</v>
      </c>
      <c r="Z207" s="32">
        <v>-166666.53</v>
      </c>
      <c r="AA207" s="12">
        <f t="shared" si="87"/>
        <v>-0.3394842760857433</v>
      </c>
      <c r="AB207" s="25">
        <f t="shared" si="88"/>
        <v>324273.82200000004</v>
      </c>
      <c r="AC207" s="44"/>
      <c r="AD207" s="8">
        <f t="shared" si="73"/>
        <v>324273.82200000004</v>
      </c>
      <c r="AE207" s="167">
        <v>185564.928</v>
      </c>
      <c r="AF207" s="168">
        <v>16208.350877491515</v>
      </c>
      <c r="AG207" s="168">
        <v>10814.46762250849</v>
      </c>
      <c r="AH207" s="168">
        <v>194500.21052989818</v>
      </c>
      <c r="AI207" s="168">
        <v>129773.61147010187</v>
      </c>
      <c r="AJ207" s="59"/>
      <c r="AK207" s="26" t="s">
        <v>352</v>
      </c>
      <c r="AL207" s="45">
        <v>15543.71</v>
      </c>
      <c r="AM207" s="45">
        <v>24871.86</v>
      </c>
      <c r="AN207" s="2">
        <v>48585.74</v>
      </c>
      <c r="AO207" s="2">
        <v>11523.42</v>
      </c>
      <c r="AP207" s="1">
        <v>28652.7</v>
      </c>
      <c r="AQ207" s="1">
        <v>12063.42</v>
      </c>
      <c r="AR207" s="24">
        <v>18160.76</v>
      </c>
      <c r="AS207" s="24">
        <v>18759.08</v>
      </c>
      <c r="AT207" s="1">
        <v>25317.64</v>
      </c>
      <c r="AU207" s="1">
        <v>14453.14</v>
      </c>
      <c r="AV207" s="24">
        <v>21014.3</v>
      </c>
      <c r="AW207" s="24">
        <v>18703.78</v>
      </c>
      <c r="AX207" s="45">
        <v>17625.86</v>
      </c>
      <c r="AY207" s="45">
        <v>12985.25</v>
      </c>
      <c r="AZ207" s="24">
        <v>20037.69</v>
      </c>
      <c r="BA207" s="24">
        <v>53295.11</v>
      </c>
      <c r="BB207" s="24">
        <v>44934.75</v>
      </c>
      <c r="BC207" s="24">
        <v>16601.04</v>
      </c>
      <c r="BD207" s="24">
        <v>49861.3</v>
      </c>
      <c r="BE207" s="24">
        <v>43449.34</v>
      </c>
      <c r="BF207" s="24">
        <v>49752.71</v>
      </c>
      <c r="BG207" s="24">
        <v>17843.44</v>
      </c>
      <c r="BH207" s="24">
        <v>25925.45</v>
      </c>
      <c r="BI207" s="24">
        <v>20367.94</v>
      </c>
      <c r="BJ207" s="9">
        <f t="shared" si="74"/>
        <v>365412.61</v>
      </c>
      <c r="BK207" s="9">
        <f t="shared" si="75"/>
        <v>264916.82</v>
      </c>
      <c r="BL207" s="153">
        <f t="shared" si="76"/>
        <v>630329.4299999999</v>
      </c>
      <c r="BM207" s="154"/>
      <c r="BN207" s="154"/>
      <c r="BO207" s="154"/>
      <c r="BP207" s="154"/>
      <c r="BQ207" s="154"/>
      <c r="BR207" s="155">
        <f t="shared" si="91"/>
        <v>630329.4299999999</v>
      </c>
      <c r="BS207" s="198">
        <v>2040.79</v>
      </c>
      <c r="BT207" s="199"/>
      <c r="BU207" s="20">
        <f t="shared" si="90"/>
        <v>-304014.8179999999</v>
      </c>
      <c r="BV207" s="231">
        <v>3379134.36</v>
      </c>
      <c r="BW207" s="229"/>
      <c r="BX207" s="230"/>
    </row>
    <row r="208" spans="1:76" ht="15.75">
      <c r="A208" s="1">
        <v>201</v>
      </c>
      <c r="B208" s="1" t="s">
        <v>187</v>
      </c>
      <c r="C208" s="1">
        <v>2548.9</v>
      </c>
      <c r="D208" s="1">
        <v>667.6</v>
      </c>
      <c r="E208" s="1">
        <f t="shared" si="78"/>
        <v>3216.5</v>
      </c>
      <c r="F208" s="2">
        <v>14.56</v>
      </c>
      <c r="G208" s="2">
        <f t="shared" si="69"/>
        <v>46832.24</v>
      </c>
      <c r="H208" s="2">
        <f t="shared" si="71"/>
        <v>280993.44</v>
      </c>
      <c r="I208" s="2">
        <f t="shared" si="79"/>
        <v>14.56</v>
      </c>
      <c r="J208" s="2">
        <f t="shared" si="80"/>
        <v>46832.24</v>
      </c>
      <c r="K208" s="2">
        <f t="shared" si="72"/>
        <v>280993.44</v>
      </c>
      <c r="L208" s="97">
        <f t="shared" si="77"/>
        <v>561986.88</v>
      </c>
      <c r="M208" s="109">
        <v>3.92</v>
      </c>
      <c r="N208" s="89">
        <f t="shared" si="81"/>
        <v>151304.16</v>
      </c>
      <c r="O208" s="64">
        <v>1.46</v>
      </c>
      <c r="P208" s="90">
        <f t="shared" si="82"/>
        <v>56353.08</v>
      </c>
      <c r="Q208" s="64"/>
      <c r="R208" s="90">
        <f t="shared" si="83"/>
        <v>0</v>
      </c>
      <c r="S208" s="64"/>
      <c r="T208" s="91">
        <f t="shared" si="84"/>
        <v>0</v>
      </c>
      <c r="U208" s="64">
        <v>0.55</v>
      </c>
      <c r="V208" s="90">
        <f t="shared" si="85"/>
        <v>21228.9</v>
      </c>
      <c r="W208" s="96"/>
      <c r="X208" s="91">
        <f t="shared" si="86"/>
        <v>0</v>
      </c>
      <c r="Y208" s="110">
        <f t="shared" si="89"/>
        <v>228886.13999999998</v>
      </c>
      <c r="Z208" s="32"/>
      <c r="AA208" s="12">
        <f t="shared" si="87"/>
        <v>0</v>
      </c>
      <c r="AB208" s="25">
        <f t="shared" si="88"/>
        <v>561986.88</v>
      </c>
      <c r="AC208" s="44"/>
      <c r="AD208" s="8">
        <f t="shared" si="73"/>
        <v>561986.88</v>
      </c>
      <c r="AE208" s="167">
        <v>213177.24000000005</v>
      </c>
      <c r="AF208" s="168">
        <v>0</v>
      </c>
      <c r="AG208" s="168">
        <v>46832.24000000001</v>
      </c>
      <c r="AH208" s="168">
        <v>0</v>
      </c>
      <c r="AI208" s="168">
        <v>561986.8800000001</v>
      </c>
      <c r="AJ208" s="59"/>
      <c r="AK208" s="59"/>
      <c r="AL208" s="45">
        <v>0</v>
      </c>
      <c r="AM208" s="45">
        <v>51098.53</v>
      </c>
      <c r="AN208" s="2">
        <v>0</v>
      </c>
      <c r="AO208" s="2">
        <v>51601.22</v>
      </c>
      <c r="AP208" s="1">
        <v>0</v>
      </c>
      <c r="AQ208" s="1">
        <v>16513.22</v>
      </c>
      <c r="AR208" s="24">
        <v>0</v>
      </c>
      <c r="AS208" s="24">
        <v>24125.26</v>
      </c>
      <c r="AT208" s="1">
        <v>0</v>
      </c>
      <c r="AU208" s="1">
        <v>29542.02</v>
      </c>
      <c r="AV208" s="24">
        <v>0</v>
      </c>
      <c r="AW208" s="24">
        <v>33867.07</v>
      </c>
      <c r="AX208" s="45">
        <v>0</v>
      </c>
      <c r="AY208" s="45">
        <v>60698.38</v>
      </c>
      <c r="AZ208" s="24">
        <v>0</v>
      </c>
      <c r="BA208" s="24">
        <v>28692.12</v>
      </c>
      <c r="BB208" s="24">
        <v>0</v>
      </c>
      <c r="BC208" s="24">
        <v>53061.24</v>
      </c>
      <c r="BD208" s="24">
        <v>0</v>
      </c>
      <c r="BE208" s="24">
        <v>23025.71</v>
      </c>
      <c r="BF208" s="24">
        <v>0</v>
      </c>
      <c r="BG208" s="24">
        <v>31312.19</v>
      </c>
      <c r="BH208" s="24">
        <v>0</v>
      </c>
      <c r="BI208" s="24">
        <v>50481.24</v>
      </c>
      <c r="BJ208" s="9">
        <f t="shared" si="74"/>
        <v>0</v>
      </c>
      <c r="BK208" s="9">
        <f t="shared" si="75"/>
        <v>454018.2</v>
      </c>
      <c r="BL208" s="153">
        <f t="shared" si="76"/>
        <v>454018.2</v>
      </c>
      <c r="BM208" s="154"/>
      <c r="BN208" s="154">
        <f>(127512.71-122910.07)</f>
        <v>4602.639999999999</v>
      </c>
      <c r="BO208" s="154"/>
      <c r="BP208" s="154"/>
      <c r="BQ208" s="154"/>
      <c r="BR208" s="155">
        <f t="shared" si="91"/>
        <v>458620.84</v>
      </c>
      <c r="BS208" s="198">
        <v>2346.95</v>
      </c>
      <c r="BT208" s="199"/>
      <c r="BU208" s="20">
        <f t="shared" si="90"/>
        <v>105712.98999999998</v>
      </c>
      <c r="BV208" s="231">
        <v>541165.25</v>
      </c>
      <c r="BW208" s="229"/>
      <c r="BX208" s="230"/>
    </row>
    <row r="209" spans="1:76" ht="15.75">
      <c r="A209" s="1">
        <v>202</v>
      </c>
      <c r="B209" s="1" t="s">
        <v>188</v>
      </c>
      <c r="C209" s="1">
        <v>1943.62</v>
      </c>
      <c r="D209" s="1">
        <v>119.4</v>
      </c>
      <c r="E209" s="1">
        <f t="shared" si="78"/>
        <v>2063.02</v>
      </c>
      <c r="F209" s="2">
        <v>15.22</v>
      </c>
      <c r="G209" s="2">
        <f aca="true" t="shared" si="92" ref="G209:G259">E209*F209</f>
        <v>31399.1644</v>
      </c>
      <c r="H209" s="2">
        <f t="shared" si="71"/>
        <v>188394.9864</v>
      </c>
      <c r="I209" s="2">
        <f t="shared" si="79"/>
        <v>15.22</v>
      </c>
      <c r="J209" s="2">
        <f t="shared" si="80"/>
        <v>31399.1644</v>
      </c>
      <c r="K209" s="2">
        <f t="shared" si="72"/>
        <v>188394.9864</v>
      </c>
      <c r="L209" s="97">
        <f t="shared" si="77"/>
        <v>376789.9728</v>
      </c>
      <c r="M209" s="109">
        <v>3.92</v>
      </c>
      <c r="N209" s="89">
        <f t="shared" si="81"/>
        <v>97044.4608</v>
      </c>
      <c r="O209" s="64">
        <v>1.46</v>
      </c>
      <c r="P209" s="90">
        <f t="shared" si="82"/>
        <v>36144.1104</v>
      </c>
      <c r="Q209" s="64"/>
      <c r="R209" s="90">
        <f t="shared" si="83"/>
        <v>0</v>
      </c>
      <c r="S209" s="64"/>
      <c r="T209" s="91">
        <f t="shared" si="84"/>
        <v>0</v>
      </c>
      <c r="U209" s="64">
        <v>0.17</v>
      </c>
      <c r="V209" s="90">
        <f t="shared" si="85"/>
        <v>4208.5608</v>
      </c>
      <c r="W209" s="96"/>
      <c r="X209" s="91">
        <f t="shared" si="86"/>
        <v>0</v>
      </c>
      <c r="Y209" s="110">
        <f t="shared" si="89"/>
        <v>137397.132</v>
      </c>
      <c r="Z209" s="32">
        <v>-325477.18</v>
      </c>
      <c r="AA209" s="12">
        <f t="shared" si="87"/>
        <v>-0.8638159279593228</v>
      </c>
      <c r="AB209" s="25">
        <f t="shared" si="88"/>
        <v>51312.792799999996</v>
      </c>
      <c r="AC209" s="44"/>
      <c r="AD209" s="8">
        <f t="shared" si="73"/>
        <v>51312.792799999996</v>
      </c>
      <c r="AE209" s="167">
        <v>135948.5712</v>
      </c>
      <c r="AF209" s="168">
        <v>0</v>
      </c>
      <c r="AG209" s="168">
        <v>4276.066066666666</v>
      </c>
      <c r="AH209" s="168">
        <v>0</v>
      </c>
      <c r="AI209" s="168">
        <v>51312.792799999996</v>
      </c>
      <c r="AJ209" s="59"/>
      <c r="AK209" s="26" t="s">
        <v>352</v>
      </c>
      <c r="AL209" s="45">
        <v>0</v>
      </c>
      <c r="AM209" s="45">
        <v>41649.22</v>
      </c>
      <c r="AN209" s="2">
        <v>0</v>
      </c>
      <c r="AO209" s="2">
        <v>13769.72</v>
      </c>
      <c r="AP209" s="1">
        <v>0</v>
      </c>
      <c r="AQ209" s="1">
        <v>10262.98</v>
      </c>
      <c r="AR209" s="24">
        <v>0</v>
      </c>
      <c r="AS209" s="24">
        <v>23015.02</v>
      </c>
      <c r="AT209" s="1">
        <v>0</v>
      </c>
      <c r="AU209" s="1">
        <v>12773.16</v>
      </c>
      <c r="AV209" s="24">
        <v>0</v>
      </c>
      <c r="AW209" s="24">
        <v>16659.52</v>
      </c>
      <c r="AX209" s="45">
        <v>0</v>
      </c>
      <c r="AY209" s="45">
        <v>28455.6</v>
      </c>
      <c r="AZ209" s="24">
        <v>0</v>
      </c>
      <c r="BA209" s="24">
        <v>17694.94</v>
      </c>
      <c r="BB209" s="24">
        <v>0</v>
      </c>
      <c r="BC209" s="24">
        <v>21107.91</v>
      </c>
      <c r="BD209" s="24">
        <v>0</v>
      </c>
      <c r="BE209" s="24">
        <v>11454.13</v>
      </c>
      <c r="BF209" s="24">
        <v>0</v>
      </c>
      <c r="BG209" s="24">
        <v>41749.73</v>
      </c>
      <c r="BH209" s="24">
        <v>0</v>
      </c>
      <c r="BI209" s="24">
        <v>56029.15</v>
      </c>
      <c r="BJ209" s="9">
        <f t="shared" si="74"/>
        <v>0</v>
      </c>
      <c r="BK209" s="9">
        <f t="shared" si="75"/>
        <v>294621.08</v>
      </c>
      <c r="BL209" s="153">
        <f t="shared" si="76"/>
        <v>294621.08</v>
      </c>
      <c r="BM209" s="154"/>
      <c r="BN209" s="154"/>
      <c r="BO209" s="154"/>
      <c r="BP209" s="154"/>
      <c r="BQ209" s="154"/>
      <c r="BR209" s="155">
        <f t="shared" si="91"/>
        <v>294621.08</v>
      </c>
      <c r="BS209" s="198">
        <v>1506</v>
      </c>
      <c r="BT209" s="199">
        <v>4128</v>
      </c>
      <c r="BU209" s="20">
        <f t="shared" si="90"/>
        <v>-241802.28720000002</v>
      </c>
      <c r="BV209" s="231">
        <v>194547.55</v>
      </c>
      <c r="BW209" s="229"/>
      <c r="BX209" s="230"/>
    </row>
    <row r="210" spans="1:76" ht="15.75">
      <c r="A210" s="1">
        <v>203</v>
      </c>
      <c r="B210" s="1" t="s">
        <v>189</v>
      </c>
      <c r="C210" s="1">
        <v>2957.8</v>
      </c>
      <c r="D210" s="1">
        <v>473.7</v>
      </c>
      <c r="E210" s="1">
        <f t="shared" si="78"/>
        <v>3431.5</v>
      </c>
      <c r="F210" s="2">
        <v>14.8</v>
      </c>
      <c r="G210" s="2">
        <f t="shared" si="92"/>
        <v>50786.200000000004</v>
      </c>
      <c r="H210" s="2">
        <f t="shared" si="71"/>
        <v>304717.2</v>
      </c>
      <c r="I210" s="2">
        <f t="shared" si="79"/>
        <v>14.8</v>
      </c>
      <c r="J210" s="2">
        <f t="shared" si="80"/>
        <v>50786.200000000004</v>
      </c>
      <c r="K210" s="2">
        <f t="shared" si="72"/>
        <v>304717.2</v>
      </c>
      <c r="L210" s="97">
        <f t="shared" si="77"/>
        <v>609434.4</v>
      </c>
      <c r="M210" s="109">
        <v>3.92</v>
      </c>
      <c r="N210" s="89">
        <f t="shared" si="81"/>
        <v>161417.76</v>
      </c>
      <c r="O210" s="64">
        <v>1.46</v>
      </c>
      <c r="P210" s="90">
        <f t="shared" si="82"/>
        <v>60119.88</v>
      </c>
      <c r="Q210" s="64"/>
      <c r="R210" s="90">
        <f t="shared" si="83"/>
        <v>0</v>
      </c>
      <c r="S210" s="64"/>
      <c r="T210" s="91">
        <f t="shared" si="84"/>
        <v>0</v>
      </c>
      <c r="U210" s="64">
        <v>0.44</v>
      </c>
      <c r="V210" s="90">
        <f t="shared" si="85"/>
        <v>18118.32</v>
      </c>
      <c r="W210" s="96"/>
      <c r="X210" s="91">
        <f t="shared" si="86"/>
        <v>0</v>
      </c>
      <c r="Y210" s="110">
        <f t="shared" si="89"/>
        <v>239655.96000000002</v>
      </c>
      <c r="Z210" s="32"/>
      <c r="AA210" s="12">
        <f t="shared" si="87"/>
        <v>0</v>
      </c>
      <c r="AB210" s="25">
        <f t="shared" si="88"/>
        <v>609434.4</v>
      </c>
      <c r="AC210" s="44"/>
      <c r="AD210" s="8">
        <f t="shared" si="73"/>
        <v>609434.4</v>
      </c>
      <c r="AE210" s="167">
        <v>224297.64</v>
      </c>
      <c r="AF210" s="168">
        <v>28730.69334905745</v>
      </c>
      <c r="AG210" s="168">
        <v>22055.506650942552</v>
      </c>
      <c r="AH210" s="168">
        <v>344768.3201886894</v>
      </c>
      <c r="AI210" s="168">
        <v>264666.0798113106</v>
      </c>
      <c r="AJ210" s="59"/>
      <c r="AK210" s="59"/>
      <c r="AL210" s="45">
        <v>7086.87</v>
      </c>
      <c r="AM210" s="45">
        <v>9598</v>
      </c>
      <c r="AN210" s="2">
        <v>34903.96</v>
      </c>
      <c r="AO210" s="2">
        <v>9598</v>
      </c>
      <c r="AP210" s="1">
        <v>13022.81</v>
      </c>
      <c r="AQ210" s="1">
        <v>9598</v>
      </c>
      <c r="AR210" s="24">
        <v>12656.75</v>
      </c>
      <c r="AS210" s="24">
        <v>10874</v>
      </c>
      <c r="AT210" s="1">
        <v>11495.53</v>
      </c>
      <c r="AU210" s="1">
        <v>9598</v>
      </c>
      <c r="AV210" s="24">
        <v>122680.09</v>
      </c>
      <c r="AW210" s="24">
        <v>9598</v>
      </c>
      <c r="AX210" s="45">
        <v>40951.88</v>
      </c>
      <c r="AY210" s="45">
        <v>9598</v>
      </c>
      <c r="AZ210" s="24">
        <v>15187.41</v>
      </c>
      <c r="BA210" s="24">
        <v>17533</v>
      </c>
      <c r="BB210" s="24">
        <v>11495.53</v>
      </c>
      <c r="BC210" s="24">
        <v>11098</v>
      </c>
      <c r="BD210" s="24">
        <v>6176.7</v>
      </c>
      <c r="BE210" s="24">
        <v>9598</v>
      </c>
      <c r="BF210" s="24">
        <v>14896.5</v>
      </c>
      <c r="BG210" s="24">
        <v>9598</v>
      </c>
      <c r="BH210" s="24">
        <v>10066.9</v>
      </c>
      <c r="BI210" s="24">
        <v>9598</v>
      </c>
      <c r="BJ210" s="9">
        <f t="shared" si="74"/>
        <v>300620.93000000005</v>
      </c>
      <c r="BK210" s="9">
        <f t="shared" si="75"/>
        <v>125887</v>
      </c>
      <c r="BL210" s="153">
        <f t="shared" si="76"/>
        <v>426507.93000000005</v>
      </c>
      <c r="BM210" s="154"/>
      <c r="BN210" s="154"/>
      <c r="BO210" s="154"/>
      <c r="BP210" s="154"/>
      <c r="BQ210" s="154"/>
      <c r="BR210" s="155">
        <f t="shared" si="91"/>
        <v>426507.93000000005</v>
      </c>
      <c r="BS210" s="198">
        <v>2495.72</v>
      </c>
      <c r="BT210" s="199">
        <v>4128</v>
      </c>
      <c r="BU210" s="20">
        <f t="shared" si="90"/>
        <v>185422.18999999997</v>
      </c>
      <c r="BV210" s="231">
        <v>215226.04</v>
      </c>
      <c r="BW210" s="229"/>
      <c r="BX210" s="230"/>
    </row>
    <row r="211" spans="1:76" ht="15.75">
      <c r="A211" s="1">
        <v>204</v>
      </c>
      <c r="B211" s="1" t="s">
        <v>190</v>
      </c>
      <c r="C211" s="1">
        <v>2642</v>
      </c>
      <c r="D211" s="1">
        <v>535.4</v>
      </c>
      <c r="E211" s="1">
        <f t="shared" si="78"/>
        <v>3177.4</v>
      </c>
      <c r="F211" s="2">
        <v>15.22</v>
      </c>
      <c r="G211" s="2">
        <f t="shared" si="92"/>
        <v>48360.028000000006</v>
      </c>
      <c r="H211" s="2">
        <f t="shared" si="71"/>
        <v>290160.16800000006</v>
      </c>
      <c r="I211" s="2">
        <f t="shared" si="79"/>
        <v>15.22</v>
      </c>
      <c r="J211" s="2">
        <f t="shared" si="80"/>
        <v>48360.028000000006</v>
      </c>
      <c r="K211" s="2">
        <f t="shared" si="72"/>
        <v>290160.16800000006</v>
      </c>
      <c r="L211" s="97">
        <f t="shared" si="77"/>
        <v>580320.3360000001</v>
      </c>
      <c r="M211" s="109">
        <v>3.92</v>
      </c>
      <c r="N211" s="89">
        <f t="shared" si="81"/>
        <v>149464.896</v>
      </c>
      <c r="O211" s="64">
        <v>1.46</v>
      </c>
      <c r="P211" s="90">
        <f t="shared" si="82"/>
        <v>55668.047999999995</v>
      </c>
      <c r="Q211" s="64"/>
      <c r="R211" s="90">
        <f t="shared" si="83"/>
        <v>0</v>
      </c>
      <c r="S211" s="64"/>
      <c r="T211" s="91">
        <f t="shared" si="84"/>
        <v>0</v>
      </c>
      <c r="U211" s="64">
        <v>0.48</v>
      </c>
      <c r="V211" s="90">
        <f t="shared" si="85"/>
        <v>18301.824</v>
      </c>
      <c r="W211" s="96"/>
      <c r="X211" s="91">
        <f t="shared" si="86"/>
        <v>0</v>
      </c>
      <c r="Y211" s="110">
        <f t="shared" si="89"/>
        <v>223434.768</v>
      </c>
      <c r="Z211" s="32">
        <v>-77138.28</v>
      </c>
      <c r="AA211" s="12">
        <f t="shared" si="87"/>
        <v>-0.13292362030890467</v>
      </c>
      <c r="AB211" s="25">
        <f t="shared" si="88"/>
        <v>503182.0560000001</v>
      </c>
      <c r="AC211" s="44"/>
      <c r="AD211" s="8">
        <f t="shared" si="73"/>
        <v>503182.0560000001</v>
      </c>
      <c r="AE211" s="167">
        <v>207892.94400000002</v>
      </c>
      <c r="AF211" s="168">
        <v>0</v>
      </c>
      <c r="AG211" s="168">
        <v>41931.83800000001</v>
      </c>
      <c r="AH211" s="168">
        <v>0</v>
      </c>
      <c r="AI211" s="168">
        <v>503182.0560000001</v>
      </c>
      <c r="AJ211" s="59"/>
      <c r="AK211" s="26" t="s">
        <v>352</v>
      </c>
      <c r="AL211" s="45">
        <v>0</v>
      </c>
      <c r="AM211" s="45">
        <v>50685.54</v>
      </c>
      <c r="AN211" s="2">
        <v>0</v>
      </c>
      <c r="AO211" s="2">
        <v>26106.3</v>
      </c>
      <c r="AP211" s="1">
        <v>0</v>
      </c>
      <c r="AQ211" s="1">
        <v>15475.23</v>
      </c>
      <c r="AR211" s="24">
        <v>0</v>
      </c>
      <c r="AS211" s="24">
        <v>18536.23</v>
      </c>
      <c r="AT211" s="1">
        <v>0</v>
      </c>
      <c r="AU211" s="1">
        <v>44554.11</v>
      </c>
      <c r="AV211" s="24">
        <v>0</v>
      </c>
      <c r="AW211" s="24">
        <v>67522.79</v>
      </c>
      <c r="AX211" s="45">
        <v>0</v>
      </c>
      <c r="AY211" s="45">
        <v>43893.03</v>
      </c>
      <c r="AZ211" s="24">
        <v>0</v>
      </c>
      <c r="BA211" s="24">
        <v>32181.1</v>
      </c>
      <c r="BB211" s="24">
        <v>0</v>
      </c>
      <c r="BC211" s="24">
        <v>27418.14</v>
      </c>
      <c r="BD211" s="24">
        <v>0</v>
      </c>
      <c r="BE211" s="24">
        <v>18119.63</v>
      </c>
      <c r="BF211" s="24">
        <v>0</v>
      </c>
      <c r="BG211" s="24">
        <v>27281.68</v>
      </c>
      <c r="BH211" s="24">
        <v>0</v>
      </c>
      <c r="BI211" s="24">
        <v>51442.19</v>
      </c>
      <c r="BJ211" s="9">
        <f t="shared" si="74"/>
        <v>0</v>
      </c>
      <c r="BK211" s="9">
        <f t="shared" si="75"/>
        <v>423215.97</v>
      </c>
      <c r="BL211" s="153">
        <f t="shared" si="76"/>
        <v>423215.97</v>
      </c>
      <c r="BM211" s="154"/>
      <c r="BN211" s="154">
        <v>128043.76</v>
      </c>
      <c r="BO211" s="154"/>
      <c r="BP211" s="154"/>
      <c r="BQ211" s="154"/>
      <c r="BR211" s="155">
        <f t="shared" si="91"/>
        <v>551259.73</v>
      </c>
      <c r="BS211" s="198">
        <v>2290.52</v>
      </c>
      <c r="BT211" s="199">
        <v>4128</v>
      </c>
      <c r="BU211" s="20">
        <f t="shared" si="90"/>
        <v>-45787.153999999886</v>
      </c>
      <c r="BV211" s="231">
        <v>327756.11</v>
      </c>
      <c r="BW211" s="229"/>
      <c r="BX211" s="230"/>
    </row>
    <row r="212" spans="1:76" ht="15.75">
      <c r="A212" s="1">
        <v>205</v>
      </c>
      <c r="B212" s="1" t="s">
        <v>191</v>
      </c>
      <c r="C212" s="1">
        <v>3832.39</v>
      </c>
      <c r="D212" s="1">
        <v>671.7</v>
      </c>
      <c r="E212" s="1">
        <f t="shared" si="78"/>
        <v>4504.09</v>
      </c>
      <c r="F212" s="2">
        <v>15.22</v>
      </c>
      <c r="G212" s="2">
        <f t="shared" si="92"/>
        <v>68552.2498</v>
      </c>
      <c r="H212" s="2">
        <f t="shared" si="71"/>
        <v>411313.49880000006</v>
      </c>
      <c r="I212" s="2">
        <f t="shared" si="79"/>
        <v>15.22</v>
      </c>
      <c r="J212" s="2">
        <f t="shared" si="80"/>
        <v>68552.2498</v>
      </c>
      <c r="K212" s="2">
        <f t="shared" si="72"/>
        <v>411313.49880000006</v>
      </c>
      <c r="L212" s="97">
        <f t="shared" si="77"/>
        <v>822626.9976000001</v>
      </c>
      <c r="M212" s="109">
        <v>3.92</v>
      </c>
      <c r="N212" s="89">
        <f t="shared" si="81"/>
        <v>211872.3936</v>
      </c>
      <c r="O212" s="64">
        <v>1.46</v>
      </c>
      <c r="P212" s="90">
        <f t="shared" si="82"/>
        <v>78911.6568</v>
      </c>
      <c r="Q212" s="64"/>
      <c r="R212" s="90">
        <f t="shared" si="83"/>
        <v>0</v>
      </c>
      <c r="S212" s="64"/>
      <c r="T212" s="91">
        <f t="shared" si="84"/>
        <v>0</v>
      </c>
      <c r="U212" s="64">
        <v>0.34</v>
      </c>
      <c r="V212" s="90">
        <f t="shared" si="85"/>
        <v>18376.6872</v>
      </c>
      <c r="W212" s="96"/>
      <c r="X212" s="91">
        <f t="shared" si="86"/>
        <v>0</v>
      </c>
      <c r="Y212" s="110">
        <f t="shared" si="89"/>
        <v>309160.7376</v>
      </c>
      <c r="Z212" s="32">
        <v>-259043.8</v>
      </c>
      <c r="AA212" s="12">
        <f t="shared" si="87"/>
        <v>-0.3148982476331992</v>
      </c>
      <c r="AB212" s="25">
        <f t="shared" si="88"/>
        <v>563583.1976000001</v>
      </c>
      <c r="AC212" s="44"/>
      <c r="AD212" s="8">
        <f t="shared" si="73"/>
        <v>563583.1976000001</v>
      </c>
      <c r="AE212" s="167">
        <v>296304.05040000007</v>
      </c>
      <c r="AF212" s="168">
        <v>27378.06572930304</v>
      </c>
      <c r="AG212" s="168">
        <v>19587.200737363633</v>
      </c>
      <c r="AH212" s="168">
        <v>328536.7887516365</v>
      </c>
      <c r="AI212" s="168">
        <v>235046.4088483636</v>
      </c>
      <c r="AJ212" s="59"/>
      <c r="AK212" s="26" t="s">
        <v>352</v>
      </c>
      <c r="AL212" s="45">
        <v>10672.76</v>
      </c>
      <c r="AM212" s="45">
        <v>25311.25</v>
      </c>
      <c r="AN212" s="2">
        <v>45354.72</v>
      </c>
      <c r="AO212" s="2">
        <v>14818.77</v>
      </c>
      <c r="AP212" s="1">
        <v>20198.37</v>
      </c>
      <c r="AQ212" s="1">
        <v>12529.44</v>
      </c>
      <c r="AR212" s="24">
        <v>12182.74</v>
      </c>
      <c r="AS212" s="24">
        <v>13805.44</v>
      </c>
      <c r="AT212" s="1">
        <v>23894.45</v>
      </c>
      <c r="AU212" s="1">
        <v>27757.26</v>
      </c>
      <c r="AV212" s="24">
        <v>82261.95</v>
      </c>
      <c r="AW212" s="24">
        <v>14607.31</v>
      </c>
      <c r="AX212" s="45">
        <v>27825.27</v>
      </c>
      <c r="AY212" s="45">
        <v>18602.31</v>
      </c>
      <c r="AZ212" s="24">
        <v>18696.95</v>
      </c>
      <c r="BA212" s="24">
        <v>20464.44</v>
      </c>
      <c r="BB212" s="24">
        <v>33425.5</v>
      </c>
      <c r="BC212" s="24">
        <v>17243.65</v>
      </c>
      <c r="BD212" s="24">
        <v>-29129.78</v>
      </c>
      <c r="BE212" s="24">
        <v>25126.53</v>
      </c>
      <c r="BF212" s="24">
        <v>27462.24</v>
      </c>
      <c r="BG212" s="24">
        <v>12529.44</v>
      </c>
      <c r="BH212" s="24">
        <v>23967.18</v>
      </c>
      <c r="BI212" s="24">
        <v>24669.47</v>
      </c>
      <c r="BJ212" s="9">
        <f t="shared" si="74"/>
        <v>296812.35</v>
      </c>
      <c r="BK212" s="9">
        <f t="shared" si="75"/>
        <v>227465.31</v>
      </c>
      <c r="BL212" s="153">
        <f t="shared" si="76"/>
        <v>524277.66</v>
      </c>
      <c r="BM212" s="154"/>
      <c r="BN212" s="154">
        <v>23383</v>
      </c>
      <c r="BO212" s="154"/>
      <c r="BP212" s="154"/>
      <c r="BQ212" s="154"/>
      <c r="BR212" s="155">
        <f t="shared" si="91"/>
        <v>547660.6599999999</v>
      </c>
      <c r="BS212" s="198"/>
      <c r="BT212" s="199">
        <v>4128</v>
      </c>
      <c r="BU212" s="20">
        <f t="shared" si="90"/>
        <v>15922.537600000156</v>
      </c>
      <c r="BV212" s="231">
        <v>292791.08</v>
      </c>
      <c r="BW212" s="229"/>
      <c r="BX212" s="230"/>
    </row>
    <row r="213" spans="1:76" ht="15.75">
      <c r="A213" s="1">
        <v>206</v>
      </c>
      <c r="B213" s="1" t="s">
        <v>192</v>
      </c>
      <c r="C213" s="1">
        <v>4469.6</v>
      </c>
      <c r="D213" s="1">
        <v>46.8</v>
      </c>
      <c r="E213" s="1">
        <f t="shared" si="78"/>
        <v>4516.400000000001</v>
      </c>
      <c r="F213" s="2">
        <v>15.22</v>
      </c>
      <c r="G213" s="2">
        <f t="shared" si="92"/>
        <v>68739.60800000001</v>
      </c>
      <c r="H213" s="2">
        <f t="shared" si="71"/>
        <v>412437.64800000004</v>
      </c>
      <c r="I213" s="2">
        <f t="shared" si="79"/>
        <v>15.22</v>
      </c>
      <c r="J213" s="2">
        <f t="shared" si="80"/>
        <v>68739.60800000001</v>
      </c>
      <c r="K213" s="2">
        <f t="shared" si="72"/>
        <v>412437.64800000004</v>
      </c>
      <c r="L213" s="97">
        <f t="shared" si="77"/>
        <v>824875.2960000001</v>
      </c>
      <c r="M213" s="109">
        <v>3.92</v>
      </c>
      <c r="N213" s="89">
        <f t="shared" si="81"/>
        <v>212451.456</v>
      </c>
      <c r="O213" s="64">
        <v>1.46</v>
      </c>
      <c r="P213" s="90">
        <f t="shared" si="82"/>
        <v>79127.32800000001</v>
      </c>
      <c r="Q213" s="64"/>
      <c r="R213" s="90">
        <f t="shared" si="83"/>
        <v>0</v>
      </c>
      <c r="S213" s="64"/>
      <c r="T213" s="91">
        <f t="shared" si="84"/>
        <v>0</v>
      </c>
      <c r="U213" s="64">
        <v>0.34</v>
      </c>
      <c r="V213" s="90">
        <f t="shared" si="85"/>
        <v>18426.912000000004</v>
      </c>
      <c r="W213" s="96"/>
      <c r="X213" s="91">
        <f t="shared" si="86"/>
        <v>0</v>
      </c>
      <c r="Y213" s="110">
        <f t="shared" si="89"/>
        <v>310005.696</v>
      </c>
      <c r="Z213" s="32">
        <v>-46842.3</v>
      </c>
      <c r="AA213" s="12">
        <f t="shared" si="87"/>
        <v>-0.056787129190495236</v>
      </c>
      <c r="AB213" s="25">
        <f t="shared" si="88"/>
        <v>778032.996</v>
      </c>
      <c r="AC213" s="44"/>
      <c r="AD213" s="8">
        <f t="shared" si="73"/>
        <v>778032.996</v>
      </c>
      <c r="AE213" s="167">
        <v>297098.784</v>
      </c>
      <c r="AF213" s="168">
        <v>37761.35103421128</v>
      </c>
      <c r="AG213" s="168">
        <v>27074.731965788727</v>
      </c>
      <c r="AH213" s="168">
        <v>453136.2124105353</v>
      </c>
      <c r="AI213" s="168">
        <v>324896.7835894647</v>
      </c>
      <c r="AJ213" s="59"/>
      <c r="AK213" s="26" t="s">
        <v>352</v>
      </c>
      <c r="AL213" s="45">
        <v>30858.12</v>
      </c>
      <c r="AM213" s="45">
        <v>12789.77</v>
      </c>
      <c r="AN213" s="2">
        <v>49152.26</v>
      </c>
      <c r="AO213" s="2">
        <v>28199.91</v>
      </c>
      <c r="AP213" s="1">
        <v>8806.98</v>
      </c>
      <c r="AQ213" s="1">
        <v>12789.77</v>
      </c>
      <c r="AR213" s="24">
        <v>9886.98</v>
      </c>
      <c r="AS213" s="24">
        <v>28960.32</v>
      </c>
      <c r="AT213" s="1">
        <v>22222.12</v>
      </c>
      <c r="AU213" s="1">
        <v>12789.77</v>
      </c>
      <c r="AV213" s="24">
        <v>37785.58</v>
      </c>
      <c r="AW213" s="24">
        <v>16595.66</v>
      </c>
      <c r="AX213" s="45">
        <v>28557.2</v>
      </c>
      <c r="AY213" s="45">
        <v>14307.39</v>
      </c>
      <c r="AZ213" s="24">
        <v>24075.71</v>
      </c>
      <c r="BA213" s="24">
        <v>22411.03</v>
      </c>
      <c r="BB213" s="24">
        <v>32987.3</v>
      </c>
      <c r="BC213" s="24">
        <v>24328.59</v>
      </c>
      <c r="BD213" s="24">
        <v>16396.48</v>
      </c>
      <c r="BE213" s="24">
        <v>13689.77</v>
      </c>
      <c r="BF213" s="24">
        <v>18658.78</v>
      </c>
      <c r="BG213" s="24">
        <v>21309.46</v>
      </c>
      <c r="BH213" s="24">
        <v>29771.61</v>
      </c>
      <c r="BI213" s="24">
        <v>12789.77</v>
      </c>
      <c r="BJ213" s="9">
        <f t="shared" si="74"/>
        <v>309159.12</v>
      </c>
      <c r="BK213" s="9">
        <f t="shared" si="75"/>
        <v>220961.20999999996</v>
      </c>
      <c r="BL213" s="153">
        <f t="shared" si="76"/>
        <v>530120.33</v>
      </c>
      <c r="BM213" s="154"/>
      <c r="BN213" s="154"/>
      <c r="BO213" s="154"/>
      <c r="BP213" s="154"/>
      <c r="BQ213" s="154"/>
      <c r="BR213" s="155">
        <f t="shared" si="91"/>
        <v>530120.33</v>
      </c>
      <c r="BS213" s="198"/>
      <c r="BT213" s="199"/>
      <c r="BU213" s="20">
        <f t="shared" si="90"/>
        <v>247912.66600000008</v>
      </c>
      <c r="BV213" s="231">
        <v>287305.65</v>
      </c>
      <c r="BW213" s="229"/>
      <c r="BX213" s="230"/>
    </row>
    <row r="214" spans="1:76" ht="15.75">
      <c r="A214" s="1">
        <v>207</v>
      </c>
      <c r="B214" s="1" t="s">
        <v>193</v>
      </c>
      <c r="C214" s="1">
        <v>4587.8</v>
      </c>
      <c r="D214" s="1">
        <v>252.3</v>
      </c>
      <c r="E214" s="1">
        <f t="shared" si="78"/>
        <v>4840.1</v>
      </c>
      <c r="F214" s="2">
        <v>15.18</v>
      </c>
      <c r="G214" s="2">
        <f t="shared" si="92"/>
        <v>73472.71800000001</v>
      </c>
      <c r="H214" s="2">
        <f t="shared" si="71"/>
        <v>440836.3080000001</v>
      </c>
      <c r="I214" s="2">
        <f t="shared" si="79"/>
        <v>15.18</v>
      </c>
      <c r="J214" s="2">
        <f t="shared" si="80"/>
        <v>73472.71800000001</v>
      </c>
      <c r="K214" s="2">
        <f t="shared" si="72"/>
        <v>440836.3080000001</v>
      </c>
      <c r="L214" s="97">
        <f t="shared" si="77"/>
        <v>881672.6160000002</v>
      </c>
      <c r="M214" s="109">
        <v>3.92</v>
      </c>
      <c r="N214" s="89">
        <f t="shared" si="81"/>
        <v>227678.30400000003</v>
      </c>
      <c r="O214" s="64">
        <v>1.46</v>
      </c>
      <c r="P214" s="90">
        <f t="shared" si="82"/>
        <v>84798.552</v>
      </c>
      <c r="Q214" s="64"/>
      <c r="R214" s="90">
        <f t="shared" si="83"/>
        <v>0</v>
      </c>
      <c r="S214" s="64"/>
      <c r="T214" s="91">
        <f t="shared" si="84"/>
        <v>0</v>
      </c>
      <c r="U214" s="64">
        <v>0.31</v>
      </c>
      <c r="V214" s="90">
        <f t="shared" si="85"/>
        <v>18005.172</v>
      </c>
      <c r="W214" s="96"/>
      <c r="X214" s="91">
        <f t="shared" si="86"/>
        <v>0</v>
      </c>
      <c r="Y214" s="110">
        <f t="shared" si="89"/>
        <v>330482.02800000005</v>
      </c>
      <c r="Z214" s="32"/>
      <c r="AA214" s="12">
        <f t="shared" si="87"/>
        <v>0</v>
      </c>
      <c r="AB214" s="25">
        <f t="shared" si="88"/>
        <v>881672.6160000002</v>
      </c>
      <c r="AC214" s="44"/>
      <c r="AD214" s="8">
        <f t="shared" si="73"/>
        <v>881672.6160000002</v>
      </c>
      <c r="AE214" s="167">
        <v>317996.856</v>
      </c>
      <c r="AF214" s="168">
        <v>41616.09610698841</v>
      </c>
      <c r="AG214" s="168">
        <v>31856.621893011605</v>
      </c>
      <c r="AH214" s="168">
        <v>499393.1532838609</v>
      </c>
      <c r="AI214" s="168">
        <v>382279.4627161393</v>
      </c>
      <c r="AJ214" s="59"/>
      <c r="AK214" s="59"/>
      <c r="AL214" s="45">
        <v>73967.9</v>
      </c>
      <c r="AM214" s="45">
        <v>13671.56</v>
      </c>
      <c r="AN214" s="2">
        <v>15660.81</v>
      </c>
      <c r="AO214" s="2">
        <v>18253.57</v>
      </c>
      <c r="AP214" s="1">
        <v>10781.35</v>
      </c>
      <c r="AQ214" s="1">
        <v>13671.56</v>
      </c>
      <c r="AR214" s="24">
        <v>9612.33</v>
      </c>
      <c r="AS214" s="24">
        <v>21450.68</v>
      </c>
      <c r="AT214" s="1">
        <v>20083.51</v>
      </c>
      <c r="AU214" s="1">
        <v>13671.56</v>
      </c>
      <c r="AV214" s="24">
        <v>23804.24</v>
      </c>
      <c r="AW214" s="24">
        <v>13671.56</v>
      </c>
      <c r="AX214" s="45">
        <v>24044.03</v>
      </c>
      <c r="AY214" s="45">
        <v>13671.56</v>
      </c>
      <c r="AZ214" s="24">
        <v>20083.51</v>
      </c>
      <c r="BA214" s="24">
        <v>22395.75</v>
      </c>
      <c r="BB214" s="24">
        <v>25339.51</v>
      </c>
      <c r="BC214" s="24">
        <v>18190.96</v>
      </c>
      <c r="BD214" s="24">
        <v>9436.83</v>
      </c>
      <c r="BE214" s="24">
        <v>17804.33</v>
      </c>
      <c r="BF214" s="24">
        <v>18330.82</v>
      </c>
      <c r="BG214" s="24">
        <v>20367.17</v>
      </c>
      <c r="BH214" s="24">
        <v>36251.5</v>
      </c>
      <c r="BI214" s="24">
        <v>22288.4</v>
      </c>
      <c r="BJ214" s="9">
        <f t="shared" si="74"/>
        <v>287396.33999999997</v>
      </c>
      <c r="BK214" s="9">
        <f t="shared" si="75"/>
        <v>209108.65999999995</v>
      </c>
      <c r="BL214" s="153">
        <f t="shared" si="76"/>
        <v>496504.9999999999</v>
      </c>
      <c r="BM214" s="154"/>
      <c r="BN214" s="154"/>
      <c r="BO214" s="154"/>
      <c r="BP214" s="154"/>
      <c r="BQ214" s="154"/>
      <c r="BR214" s="155">
        <f t="shared" si="91"/>
        <v>496504.9999999999</v>
      </c>
      <c r="BS214" s="198"/>
      <c r="BT214" s="199">
        <v>4128</v>
      </c>
      <c r="BU214" s="20">
        <f t="shared" si="90"/>
        <v>385167.6160000003</v>
      </c>
      <c r="BV214" s="231">
        <v>180498.85</v>
      </c>
      <c r="BW214" s="229"/>
      <c r="BX214" s="230"/>
    </row>
    <row r="215" spans="1:76" ht="15.75">
      <c r="A215" s="1">
        <v>208</v>
      </c>
      <c r="B215" s="1" t="s">
        <v>194</v>
      </c>
      <c r="C215" s="1">
        <v>3740.7</v>
      </c>
      <c r="D215" s="1">
        <v>0</v>
      </c>
      <c r="E215" s="1">
        <f t="shared" si="78"/>
        <v>3740.7</v>
      </c>
      <c r="F215" s="2">
        <v>15.87</v>
      </c>
      <c r="G215" s="2">
        <f t="shared" si="92"/>
        <v>59364.90899999999</v>
      </c>
      <c r="H215" s="2">
        <f t="shared" si="71"/>
        <v>356189.45399999997</v>
      </c>
      <c r="I215" s="2">
        <f t="shared" si="79"/>
        <v>15.87</v>
      </c>
      <c r="J215" s="2">
        <f t="shared" si="80"/>
        <v>59364.90899999999</v>
      </c>
      <c r="K215" s="2">
        <f t="shared" si="72"/>
        <v>356189.45399999997</v>
      </c>
      <c r="L215" s="97">
        <f t="shared" si="77"/>
        <v>712378.9079999999</v>
      </c>
      <c r="M215" s="109">
        <v>3.92</v>
      </c>
      <c r="N215" s="89">
        <f t="shared" si="81"/>
        <v>175962.528</v>
      </c>
      <c r="O215" s="64">
        <v>1.46</v>
      </c>
      <c r="P215" s="90">
        <f t="shared" si="82"/>
        <v>65537.064</v>
      </c>
      <c r="Q215" s="64"/>
      <c r="R215" s="90">
        <f t="shared" si="83"/>
        <v>0</v>
      </c>
      <c r="S215" s="64"/>
      <c r="T215" s="91">
        <f t="shared" si="84"/>
        <v>0</v>
      </c>
      <c r="U215" s="64">
        <v>0.4</v>
      </c>
      <c r="V215" s="90">
        <f t="shared" si="85"/>
        <v>17955.36</v>
      </c>
      <c r="W215" s="96"/>
      <c r="X215" s="91">
        <f t="shared" si="86"/>
        <v>0</v>
      </c>
      <c r="Y215" s="110">
        <f t="shared" si="89"/>
        <v>259454.952</v>
      </c>
      <c r="Z215" s="32">
        <v>-766362.47</v>
      </c>
      <c r="AA215" s="12">
        <f t="shared" si="87"/>
        <v>-1.0757792817751421</v>
      </c>
      <c r="AB215" s="25">
        <f t="shared" si="88"/>
        <v>-53983.562000000034</v>
      </c>
      <c r="AC215" s="44"/>
      <c r="AD215" s="8">
        <f t="shared" si="73"/>
        <v>-53983.562000000034</v>
      </c>
      <c r="AE215" s="167">
        <v>247019.592</v>
      </c>
      <c r="AF215" s="168">
        <v>9929.099200648494</v>
      </c>
      <c r="AG215" s="168">
        <v>10655.866799351506</v>
      </c>
      <c r="AH215" s="168">
        <v>119149.19040778192</v>
      </c>
      <c r="AI215" s="168">
        <v>127870.40159221808</v>
      </c>
      <c r="AJ215" s="59"/>
      <c r="AK215" s="26" t="s">
        <v>352</v>
      </c>
      <c r="AL215" s="45">
        <v>6734.16</v>
      </c>
      <c r="AM215" s="45">
        <v>10673.48</v>
      </c>
      <c r="AN215" s="2">
        <v>62470.2</v>
      </c>
      <c r="AO215" s="2">
        <v>12962.81</v>
      </c>
      <c r="AP215" s="1">
        <v>11193.14</v>
      </c>
      <c r="AQ215" s="1">
        <v>10673.48</v>
      </c>
      <c r="AR215" s="24">
        <v>14605.13</v>
      </c>
      <c r="AS215" s="24">
        <v>85359.15</v>
      </c>
      <c r="AT215" s="1">
        <v>14288.02</v>
      </c>
      <c r="AU215" s="1">
        <v>43862.7</v>
      </c>
      <c r="AV215" s="24">
        <v>75186.23</v>
      </c>
      <c r="AW215" s="24">
        <v>36994.31</v>
      </c>
      <c r="AX215" s="45">
        <v>67736.2</v>
      </c>
      <c r="AY215" s="45">
        <v>38677.79</v>
      </c>
      <c r="AZ215" s="24">
        <v>49361.87</v>
      </c>
      <c r="BA215" s="197">
        <v>60157.9</v>
      </c>
      <c r="BB215" s="24">
        <v>45124.24</v>
      </c>
      <c r="BC215" s="24">
        <v>30873.45</v>
      </c>
      <c r="BD215" s="24">
        <v>7166.16</v>
      </c>
      <c r="BE215" s="24">
        <v>11220.01</v>
      </c>
      <c r="BF215" s="24">
        <v>7407.65</v>
      </c>
      <c r="BG215" s="24">
        <v>42704.99</v>
      </c>
      <c r="BH215" s="24">
        <v>30389.02</v>
      </c>
      <c r="BI215" s="24">
        <v>90097.96</v>
      </c>
      <c r="BJ215" s="9">
        <f t="shared" si="74"/>
        <v>391662.02</v>
      </c>
      <c r="BK215" s="9">
        <f t="shared" si="75"/>
        <v>474258.03</v>
      </c>
      <c r="BL215" s="153">
        <f t="shared" si="76"/>
        <v>865920.05</v>
      </c>
      <c r="BM215" s="154">
        <v>8124</v>
      </c>
      <c r="BN215" s="154">
        <f>24178.39+76000+76000+116500+116500+116500+116500</f>
        <v>642178.39</v>
      </c>
      <c r="BO215" s="154"/>
      <c r="BP215" s="154"/>
      <c r="BQ215" s="154"/>
      <c r="BR215" s="155">
        <f t="shared" si="91"/>
        <v>1516222.44</v>
      </c>
      <c r="BS215" s="198"/>
      <c r="BT215" s="199"/>
      <c r="BU215" s="20">
        <f t="shared" si="90"/>
        <v>-1570206.0019999999</v>
      </c>
      <c r="BV215" s="231">
        <v>243508.62</v>
      </c>
      <c r="BW215" s="229"/>
      <c r="BX215" s="230"/>
    </row>
    <row r="216" spans="1:76" ht="15.75">
      <c r="A216" s="1">
        <v>209</v>
      </c>
      <c r="B216" s="1" t="s">
        <v>195</v>
      </c>
      <c r="C216" s="1">
        <v>4572</v>
      </c>
      <c r="D216" s="1">
        <v>324.8</v>
      </c>
      <c r="E216" s="1">
        <f t="shared" si="78"/>
        <v>4896.8</v>
      </c>
      <c r="F216" s="2">
        <v>15.18</v>
      </c>
      <c r="G216" s="2">
        <f t="shared" si="92"/>
        <v>74333.424</v>
      </c>
      <c r="H216" s="2">
        <f t="shared" si="71"/>
        <v>446000.544</v>
      </c>
      <c r="I216" s="2">
        <f t="shared" si="79"/>
        <v>15.18</v>
      </c>
      <c r="J216" s="2">
        <f t="shared" si="80"/>
        <v>74333.424</v>
      </c>
      <c r="K216" s="2">
        <f t="shared" si="72"/>
        <v>446000.544</v>
      </c>
      <c r="L216" s="97">
        <f t="shared" si="77"/>
        <v>892001.088</v>
      </c>
      <c r="M216" s="109">
        <v>3.92</v>
      </c>
      <c r="N216" s="89">
        <f t="shared" si="81"/>
        <v>230345.472</v>
      </c>
      <c r="O216" s="64">
        <v>1.46</v>
      </c>
      <c r="P216" s="90">
        <f t="shared" si="82"/>
        <v>85791.936</v>
      </c>
      <c r="Q216" s="64"/>
      <c r="R216" s="90">
        <f t="shared" si="83"/>
        <v>0</v>
      </c>
      <c r="S216" s="64"/>
      <c r="T216" s="91">
        <f t="shared" si="84"/>
        <v>0</v>
      </c>
      <c r="U216" s="64">
        <v>0.3</v>
      </c>
      <c r="V216" s="90">
        <f t="shared" si="85"/>
        <v>17628.48</v>
      </c>
      <c r="W216" s="96"/>
      <c r="X216" s="91">
        <f t="shared" si="86"/>
        <v>0</v>
      </c>
      <c r="Y216" s="110">
        <f t="shared" si="89"/>
        <v>333765.888</v>
      </c>
      <c r="Z216" s="32"/>
      <c r="AA216" s="12">
        <f t="shared" si="87"/>
        <v>0</v>
      </c>
      <c r="AB216" s="25">
        <f t="shared" si="88"/>
        <v>892001.088</v>
      </c>
      <c r="AC216" s="44"/>
      <c r="AD216" s="8">
        <f t="shared" si="73"/>
        <v>892001.088</v>
      </c>
      <c r="AE216" s="167">
        <v>321657.40800000005</v>
      </c>
      <c r="AF216" s="168">
        <v>43299.311056609244</v>
      </c>
      <c r="AG216" s="168">
        <v>31034.112943390763</v>
      </c>
      <c r="AH216" s="168">
        <v>519591.7326793109</v>
      </c>
      <c r="AI216" s="168">
        <v>372409.35532068915</v>
      </c>
      <c r="AJ216" s="59"/>
      <c r="AK216" s="59"/>
      <c r="AL216" s="45">
        <v>11892.97</v>
      </c>
      <c r="AM216" s="45">
        <v>22872.1</v>
      </c>
      <c r="AN216" s="2">
        <v>9547.79</v>
      </c>
      <c r="AO216" s="2">
        <v>22707.07</v>
      </c>
      <c r="AP216" s="1">
        <v>67087.79</v>
      </c>
      <c r="AQ216" s="1">
        <v>13366.9</v>
      </c>
      <c r="AR216" s="24">
        <v>9547.79</v>
      </c>
      <c r="AS216" s="24">
        <v>16116.89</v>
      </c>
      <c r="AT216" s="1">
        <v>25021.92</v>
      </c>
      <c r="AU216" s="1">
        <v>25308.77</v>
      </c>
      <c r="AV216" s="24">
        <v>64093.1</v>
      </c>
      <c r="AW216" s="24">
        <v>13366.9</v>
      </c>
      <c r="AX216" s="45">
        <v>152089.14</v>
      </c>
      <c r="AY216" s="45">
        <v>50737.28</v>
      </c>
      <c r="AZ216" s="24">
        <v>80813.37</v>
      </c>
      <c r="BA216" s="197">
        <v>6327.36</v>
      </c>
      <c r="BB216" s="24">
        <v>26093.15</v>
      </c>
      <c r="BC216" s="24">
        <v>16386.3</v>
      </c>
      <c r="BD216" s="24">
        <v>9547.79</v>
      </c>
      <c r="BE216" s="24">
        <v>14237.01</v>
      </c>
      <c r="BF216" s="24">
        <v>9979.79</v>
      </c>
      <c r="BG216" s="24">
        <v>17894.3</v>
      </c>
      <c r="BH216" s="24">
        <v>30157.59</v>
      </c>
      <c r="BI216" s="24">
        <v>13366.9</v>
      </c>
      <c r="BJ216" s="9">
        <f t="shared" si="74"/>
        <v>495872.19</v>
      </c>
      <c r="BK216" s="9">
        <f t="shared" si="75"/>
        <v>232687.77999999994</v>
      </c>
      <c r="BL216" s="153">
        <f t="shared" si="76"/>
        <v>728559.97</v>
      </c>
      <c r="BM216" s="154"/>
      <c r="BN216" s="154"/>
      <c r="BO216" s="154"/>
      <c r="BP216" s="154"/>
      <c r="BQ216" s="154"/>
      <c r="BR216" s="155">
        <f t="shared" si="91"/>
        <v>728559.97</v>
      </c>
      <c r="BS216" s="198"/>
      <c r="BT216" s="199"/>
      <c r="BU216" s="20">
        <f t="shared" si="90"/>
        <v>163441.11800000002</v>
      </c>
      <c r="BV216" s="231">
        <v>117883.52</v>
      </c>
      <c r="BW216" s="229"/>
      <c r="BX216" s="230"/>
    </row>
    <row r="217" spans="1:76" ht="15.75">
      <c r="A217" s="1">
        <v>210</v>
      </c>
      <c r="B217" s="1" t="s">
        <v>196</v>
      </c>
      <c r="C217" s="1">
        <v>4159.6</v>
      </c>
      <c r="D217" s="1">
        <v>365.6</v>
      </c>
      <c r="E217" s="1">
        <f t="shared" si="78"/>
        <v>4525.200000000001</v>
      </c>
      <c r="F217" s="2">
        <v>15.18</v>
      </c>
      <c r="G217" s="2">
        <f t="shared" si="92"/>
        <v>68692.53600000001</v>
      </c>
      <c r="H217" s="2">
        <f t="shared" si="71"/>
        <v>412155.216</v>
      </c>
      <c r="I217" s="2">
        <f t="shared" si="79"/>
        <v>15.18</v>
      </c>
      <c r="J217" s="2">
        <f t="shared" si="80"/>
        <v>68692.53600000001</v>
      </c>
      <c r="K217" s="2">
        <f t="shared" si="72"/>
        <v>412155.216</v>
      </c>
      <c r="L217" s="97">
        <f t="shared" si="77"/>
        <v>824310.432</v>
      </c>
      <c r="M217" s="109">
        <v>3.92</v>
      </c>
      <c r="N217" s="89">
        <f t="shared" si="81"/>
        <v>212865.40800000005</v>
      </c>
      <c r="O217" s="64">
        <v>1.46</v>
      </c>
      <c r="P217" s="90">
        <f t="shared" si="82"/>
        <v>79281.50400000002</v>
      </c>
      <c r="Q217" s="64"/>
      <c r="R217" s="90">
        <f t="shared" si="83"/>
        <v>0</v>
      </c>
      <c r="S217" s="64"/>
      <c r="T217" s="91">
        <f t="shared" si="84"/>
        <v>0</v>
      </c>
      <c r="U217" s="64">
        <v>0.34</v>
      </c>
      <c r="V217" s="90">
        <f t="shared" si="85"/>
        <v>18462.816000000006</v>
      </c>
      <c r="W217" s="96"/>
      <c r="X217" s="91">
        <f t="shared" si="86"/>
        <v>0</v>
      </c>
      <c r="Y217" s="110">
        <f t="shared" si="89"/>
        <v>310609.72800000006</v>
      </c>
      <c r="Z217" s="32"/>
      <c r="AA217" s="12">
        <f t="shared" si="87"/>
        <v>0</v>
      </c>
      <c r="AB217" s="25">
        <f t="shared" si="88"/>
        <v>824310.432</v>
      </c>
      <c r="AC217" s="166"/>
      <c r="AD217" s="8">
        <f t="shared" si="73"/>
        <v>824310.432</v>
      </c>
      <c r="AE217" s="167">
        <v>297666.912</v>
      </c>
      <c r="AF217" s="168">
        <v>0</v>
      </c>
      <c r="AG217" s="168">
        <v>68692.53600000001</v>
      </c>
      <c r="AH217" s="168">
        <v>0</v>
      </c>
      <c r="AI217" s="168">
        <v>824310.432</v>
      </c>
      <c r="AJ217" s="59"/>
      <c r="AK217" s="59"/>
      <c r="AL217" s="45">
        <v>0</v>
      </c>
      <c r="AM217" s="45">
        <v>70993.81</v>
      </c>
      <c r="AN217" s="2">
        <v>0</v>
      </c>
      <c r="AO217" s="2">
        <v>30769.94</v>
      </c>
      <c r="AP217" s="1">
        <v>0</v>
      </c>
      <c r="AQ217" s="1">
        <v>23201.69</v>
      </c>
      <c r="AR217" s="24">
        <v>0</v>
      </c>
      <c r="AS217" s="24">
        <v>30271.04</v>
      </c>
      <c r="AT217" s="1">
        <v>0</v>
      </c>
      <c r="AU217" s="1">
        <v>31593.38</v>
      </c>
      <c r="AV217" s="24">
        <v>0</v>
      </c>
      <c r="AW217" s="24">
        <v>54518.26</v>
      </c>
      <c r="AX217" s="45">
        <v>0</v>
      </c>
      <c r="AY217" s="45">
        <v>32281.77</v>
      </c>
      <c r="AZ217" s="24">
        <v>0</v>
      </c>
      <c r="BA217" s="24">
        <v>41610.38</v>
      </c>
      <c r="BB217" s="24">
        <v>0</v>
      </c>
      <c r="BC217" s="24">
        <v>112635.52</v>
      </c>
      <c r="BD217" s="24">
        <v>0</v>
      </c>
      <c r="BE217" s="24">
        <v>27909.56</v>
      </c>
      <c r="BF217" s="24">
        <v>0</v>
      </c>
      <c r="BG217" s="24">
        <v>50319.71</v>
      </c>
      <c r="BH217" s="24">
        <v>0</v>
      </c>
      <c r="BI217" s="24">
        <v>90420.64</v>
      </c>
      <c r="BJ217" s="9">
        <f t="shared" si="74"/>
        <v>0</v>
      </c>
      <c r="BK217" s="9">
        <f t="shared" si="75"/>
        <v>596525.7000000001</v>
      </c>
      <c r="BL217" s="153">
        <f t="shared" si="76"/>
        <v>596525.7000000001</v>
      </c>
      <c r="BM217" s="154"/>
      <c r="BN217" s="154"/>
      <c r="BO217" s="154"/>
      <c r="BP217" s="154"/>
      <c r="BQ217" s="154"/>
      <c r="BR217" s="155">
        <f t="shared" si="91"/>
        <v>596525.7000000001</v>
      </c>
      <c r="BS217" s="198">
        <v>6603.14</v>
      </c>
      <c r="BT217" s="199"/>
      <c r="BU217" s="20">
        <f t="shared" si="90"/>
        <v>234387.87199999997</v>
      </c>
      <c r="BV217" s="231">
        <v>267923.11</v>
      </c>
      <c r="BW217" s="229"/>
      <c r="BX217" s="230"/>
    </row>
    <row r="218" spans="1:76" ht="15.75">
      <c r="A218" s="1">
        <v>211</v>
      </c>
      <c r="B218" s="1" t="s">
        <v>197</v>
      </c>
      <c r="C218" s="1">
        <v>2632.3</v>
      </c>
      <c r="D218" s="1">
        <v>0</v>
      </c>
      <c r="E218" s="1">
        <f t="shared" si="78"/>
        <v>2632.3</v>
      </c>
      <c r="F218" s="2">
        <v>15.87</v>
      </c>
      <c r="G218" s="2">
        <f t="shared" si="92"/>
        <v>41774.601</v>
      </c>
      <c r="H218" s="2">
        <f t="shared" si="71"/>
        <v>250647.60600000003</v>
      </c>
      <c r="I218" s="2">
        <f t="shared" si="79"/>
        <v>15.87</v>
      </c>
      <c r="J218" s="2">
        <f t="shared" si="80"/>
        <v>41774.601</v>
      </c>
      <c r="K218" s="2">
        <f t="shared" si="72"/>
        <v>250647.60600000003</v>
      </c>
      <c r="L218" s="97">
        <f t="shared" si="77"/>
        <v>501295.21200000006</v>
      </c>
      <c r="M218" s="109">
        <v>3.92</v>
      </c>
      <c r="N218" s="89">
        <f t="shared" si="81"/>
        <v>123823.39199999999</v>
      </c>
      <c r="O218" s="64">
        <v>1.46</v>
      </c>
      <c r="P218" s="90">
        <f t="shared" si="82"/>
        <v>46117.89600000001</v>
      </c>
      <c r="Q218" s="64"/>
      <c r="R218" s="90">
        <f t="shared" si="83"/>
        <v>0</v>
      </c>
      <c r="S218" s="64"/>
      <c r="T218" s="91">
        <f t="shared" si="84"/>
        <v>0</v>
      </c>
      <c r="U218" s="64">
        <v>0.57</v>
      </c>
      <c r="V218" s="90">
        <f t="shared" si="85"/>
        <v>18004.932</v>
      </c>
      <c r="W218" s="96"/>
      <c r="X218" s="91">
        <f t="shared" si="86"/>
        <v>0</v>
      </c>
      <c r="Y218" s="110">
        <f t="shared" si="89"/>
        <v>187946.22</v>
      </c>
      <c r="Z218" s="32">
        <v>-739061.12</v>
      </c>
      <c r="AA218" s="12">
        <f t="shared" si="87"/>
        <v>-1.4743031696859692</v>
      </c>
      <c r="AB218" s="25">
        <f t="shared" si="88"/>
        <v>-237765.90799999994</v>
      </c>
      <c r="AC218" s="166">
        <v>120000</v>
      </c>
      <c r="AD218" s="8">
        <f t="shared" si="73"/>
        <v>-357765.90799999994</v>
      </c>
      <c r="AE218" s="167">
        <v>180981.288</v>
      </c>
      <c r="AF218" s="168">
        <v>8611.146522196088</v>
      </c>
      <c r="AG218" s="168">
        <v>6470.627477803909</v>
      </c>
      <c r="AH218" s="168">
        <v>103333.75826635306</v>
      </c>
      <c r="AI218" s="168">
        <v>77647.52973364691</v>
      </c>
      <c r="AJ218" s="59"/>
      <c r="AK218" s="26" t="s">
        <v>352</v>
      </c>
      <c r="AL218" s="45">
        <v>24956.83</v>
      </c>
      <c r="AM218" s="45">
        <v>13034.21</v>
      </c>
      <c r="AN218" s="2">
        <v>38850.09</v>
      </c>
      <c r="AO218" s="2">
        <v>8106.18</v>
      </c>
      <c r="AP218" s="1">
        <v>6045.4</v>
      </c>
      <c r="AQ218" s="1">
        <v>8106.18</v>
      </c>
      <c r="AR218" s="24">
        <v>84399.13</v>
      </c>
      <c r="AS218" s="24">
        <v>9874.11</v>
      </c>
      <c r="AT218" s="1">
        <v>143227.46</v>
      </c>
      <c r="AU218" s="1">
        <v>98213.77</v>
      </c>
      <c r="AV218" s="24">
        <v>657317.55</v>
      </c>
      <c r="AW218" s="24">
        <v>11266.49</v>
      </c>
      <c r="AX218" s="45">
        <v>13187.33</v>
      </c>
      <c r="AY218" s="45">
        <v>14932.99</v>
      </c>
      <c r="AZ218" s="24">
        <v>15741.24</v>
      </c>
      <c r="BA218" s="24">
        <v>16041.18</v>
      </c>
      <c r="BB218" s="24">
        <v>17435.52</v>
      </c>
      <c r="BC218" s="24">
        <v>30847.86</v>
      </c>
      <c r="BD218" s="24">
        <v>7777.43</v>
      </c>
      <c r="BE218" s="24">
        <v>9671</v>
      </c>
      <c r="BF218" s="24">
        <v>9508.19</v>
      </c>
      <c r="BG218" s="24">
        <v>8106.18</v>
      </c>
      <c r="BH218" s="24">
        <v>45417.45</v>
      </c>
      <c r="BI218" s="24">
        <v>8106.18</v>
      </c>
      <c r="BJ218" s="9">
        <f t="shared" si="74"/>
        <v>1063863.62</v>
      </c>
      <c r="BK218" s="9">
        <f t="shared" si="75"/>
        <v>236306.32999999996</v>
      </c>
      <c r="BL218" s="153">
        <f t="shared" si="76"/>
        <v>1300169.9500000002</v>
      </c>
      <c r="BM218" s="154"/>
      <c r="BN218" s="154">
        <f>17014.13+69473.87</f>
        <v>86488</v>
      </c>
      <c r="BO218" s="154"/>
      <c r="BP218" s="154"/>
      <c r="BQ218" s="154"/>
      <c r="BR218" s="155">
        <f t="shared" si="91"/>
        <v>1386657.9500000002</v>
      </c>
      <c r="BS218" s="198"/>
      <c r="BT218" s="199">
        <v>4128</v>
      </c>
      <c r="BU218" s="20">
        <f t="shared" si="90"/>
        <v>-1624423.858</v>
      </c>
      <c r="BV218" s="231">
        <v>241828.85</v>
      </c>
      <c r="BW218" s="229"/>
      <c r="BX218" s="230"/>
    </row>
    <row r="219" spans="1:76" ht="15.75">
      <c r="A219" s="1">
        <v>212</v>
      </c>
      <c r="B219" s="1" t="s">
        <v>198</v>
      </c>
      <c r="C219" s="1">
        <v>3010.1</v>
      </c>
      <c r="D219" s="1">
        <v>567.3</v>
      </c>
      <c r="E219" s="1">
        <f t="shared" si="78"/>
        <v>3577.3999999999996</v>
      </c>
      <c r="F219" s="2">
        <v>14.8</v>
      </c>
      <c r="G219" s="2">
        <f t="shared" si="92"/>
        <v>52945.52</v>
      </c>
      <c r="H219" s="2">
        <f t="shared" si="71"/>
        <v>317673.12</v>
      </c>
      <c r="I219" s="2">
        <f t="shared" si="79"/>
        <v>14.8</v>
      </c>
      <c r="J219" s="2">
        <f t="shared" si="80"/>
        <v>52945.52</v>
      </c>
      <c r="K219" s="2">
        <f t="shared" si="72"/>
        <v>317673.12</v>
      </c>
      <c r="L219" s="97">
        <f t="shared" si="77"/>
        <v>635346.24</v>
      </c>
      <c r="M219" s="109">
        <v>3.92</v>
      </c>
      <c r="N219" s="89">
        <f t="shared" si="81"/>
        <v>168280.89599999998</v>
      </c>
      <c r="O219" s="64">
        <v>1.46</v>
      </c>
      <c r="P219" s="90">
        <f t="shared" si="82"/>
        <v>62676.04799999999</v>
      </c>
      <c r="Q219" s="64"/>
      <c r="R219" s="90">
        <f t="shared" si="83"/>
        <v>0</v>
      </c>
      <c r="S219" s="64"/>
      <c r="T219" s="91">
        <f t="shared" si="84"/>
        <v>0</v>
      </c>
      <c r="U219" s="64">
        <v>0.42</v>
      </c>
      <c r="V219" s="90">
        <f t="shared" si="85"/>
        <v>18030.095999999998</v>
      </c>
      <c r="W219" s="96"/>
      <c r="X219" s="91">
        <f t="shared" si="86"/>
        <v>0</v>
      </c>
      <c r="Y219" s="110">
        <f t="shared" si="89"/>
        <v>248987.03999999995</v>
      </c>
      <c r="Z219" s="32"/>
      <c r="AA219" s="12">
        <f t="shared" si="87"/>
        <v>0</v>
      </c>
      <c r="AB219" s="25">
        <f t="shared" si="88"/>
        <v>635346.24</v>
      </c>
      <c r="AC219" s="44"/>
      <c r="AD219" s="8">
        <f t="shared" si="73"/>
        <v>635346.24</v>
      </c>
      <c r="AE219" s="167">
        <v>233716.94400000002</v>
      </c>
      <c r="AF219" s="168">
        <v>29944.38816440599</v>
      </c>
      <c r="AG219" s="168">
        <v>23001.131835594006</v>
      </c>
      <c r="AH219" s="168">
        <v>359332.6579728719</v>
      </c>
      <c r="AI219" s="168">
        <v>276013.5820271281</v>
      </c>
      <c r="AJ219" s="59"/>
      <c r="AK219" s="59"/>
      <c r="AL219" s="45">
        <v>6438.78</v>
      </c>
      <c r="AM219" s="45">
        <v>9995.48</v>
      </c>
      <c r="AN219" s="2">
        <v>7161.42</v>
      </c>
      <c r="AO219" s="2">
        <v>9995.48</v>
      </c>
      <c r="AP219" s="1">
        <v>10075.59</v>
      </c>
      <c r="AQ219" s="1">
        <v>9995.48</v>
      </c>
      <c r="AR219" s="24">
        <v>37117.53</v>
      </c>
      <c r="AS219" s="24">
        <v>14677.08</v>
      </c>
      <c r="AT219" s="1">
        <v>20623.29</v>
      </c>
      <c r="AU219" s="1">
        <v>9995.48</v>
      </c>
      <c r="AV219" s="24">
        <v>13732.09</v>
      </c>
      <c r="AW219" s="24">
        <v>9995.48</v>
      </c>
      <c r="AX219" s="45">
        <v>11983.29</v>
      </c>
      <c r="AY219" s="45">
        <v>13192.65</v>
      </c>
      <c r="AZ219" s="24">
        <v>11983.29</v>
      </c>
      <c r="BA219" s="24">
        <v>17930.48</v>
      </c>
      <c r="BB219" s="24">
        <v>20807.05</v>
      </c>
      <c r="BC219" s="24">
        <v>40740.76</v>
      </c>
      <c r="BD219" s="24">
        <v>6715.16</v>
      </c>
      <c r="BE219" s="24">
        <v>9995.48</v>
      </c>
      <c r="BF219" s="24">
        <v>8553.15</v>
      </c>
      <c r="BG219" s="24">
        <v>15124.55</v>
      </c>
      <c r="BH219" s="24">
        <v>13547.66</v>
      </c>
      <c r="BI219" s="24">
        <v>9995.48</v>
      </c>
      <c r="BJ219" s="9">
        <f t="shared" si="74"/>
        <v>168738.3</v>
      </c>
      <c r="BK219" s="9">
        <f t="shared" si="75"/>
        <v>171633.88</v>
      </c>
      <c r="BL219" s="153">
        <f t="shared" si="76"/>
        <v>340372.18</v>
      </c>
      <c r="BM219" s="154"/>
      <c r="BN219" s="154"/>
      <c r="BO219" s="154"/>
      <c r="BP219" s="154"/>
      <c r="BQ219" s="154"/>
      <c r="BR219" s="155">
        <f t="shared" si="91"/>
        <v>340372.18</v>
      </c>
      <c r="BS219" s="198">
        <v>2619.31</v>
      </c>
      <c r="BT219" s="199"/>
      <c r="BU219" s="20">
        <f t="shared" si="90"/>
        <v>297593.37</v>
      </c>
      <c r="BV219" s="231">
        <v>204378.68</v>
      </c>
      <c r="BW219" s="229"/>
      <c r="BX219" s="230"/>
    </row>
    <row r="220" spans="1:76" ht="15.75">
      <c r="A220" s="1">
        <v>213</v>
      </c>
      <c r="B220" s="1" t="s">
        <v>199</v>
      </c>
      <c r="C220" s="1">
        <v>2691.8</v>
      </c>
      <c r="D220" s="1">
        <v>687.4</v>
      </c>
      <c r="E220" s="1">
        <f t="shared" si="78"/>
        <v>3379.2000000000003</v>
      </c>
      <c r="F220" s="2">
        <v>15.22</v>
      </c>
      <c r="G220" s="2">
        <f t="shared" si="92"/>
        <v>51431.424000000006</v>
      </c>
      <c r="H220" s="2">
        <f t="shared" si="71"/>
        <v>308588.54400000005</v>
      </c>
      <c r="I220" s="2">
        <f t="shared" si="79"/>
        <v>15.22</v>
      </c>
      <c r="J220" s="2">
        <f t="shared" si="80"/>
        <v>51431.424000000006</v>
      </c>
      <c r="K220" s="2">
        <f t="shared" si="72"/>
        <v>308588.54400000005</v>
      </c>
      <c r="L220" s="97">
        <f t="shared" si="77"/>
        <v>617177.0880000001</v>
      </c>
      <c r="M220" s="109">
        <v>3.92</v>
      </c>
      <c r="N220" s="89">
        <f t="shared" si="81"/>
        <v>158957.568</v>
      </c>
      <c r="O220" s="64">
        <v>1.46</v>
      </c>
      <c r="P220" s="90">
        <f t="shared" si="82"/>
        <v>59203.584</v>
      </c>
      <c r="Q220" s="64"/>
      <c r="R220" s="90">
        <f t="shared" si="83"/>
        <v>0</v>
      </c>
      <c r="S220" s="64"/>
      <c r="T220" s="91">
        <f t="shared" si="84"/>
        <v>0</v>
      </c>
      <c r="U220" s="64">
        <v>0.44</v>
      </c>
      <c r="V220" s="90">
        <f t="shared" si="85"/>
        <v>17842.176000000003</v>
      </c>
      <c r="W220" s="96"/>
      <c r="X220" s="91">
        <f t="shared" si="86"/>
        <v>0</v>
      </c>
      <c r="Y220" s="110">
        <f t="shared" si="89"/>
        <v>236003.328</v>
      </c>
      <c r="Z220" s="32">
        <v>-337258.39</v>
      </c>
      <c r="AA220" s="12">
        <f t="shared" si="87"/>
        <v>-0.5464531923777441</v>
      </c>
      <c r="AB220" s="25">
        <f t="shared" si="88"/>
        <v>279918.6980000001</v>
      </c>
      <c r="AC220" s="44"/>
      <c r="AD220" s="8">
        <f t="shared" si="73"/>
        <v>279918.6980000001</v>
      </c>
      <c r="AE220" s="167">
        <v>220921.152</v>
      </c>
      <c r="AF220" s="168">
        <v>13351.222758802573</v>
      </c>
      <c r="AG220" s="168">
        <v>9975.3354078641</v>
      </c>
      <c r="AH220" s="168">
        <v>160214.67310563088</v>
      </c>
      <c r="AI220" s="168">
        <v>119704.02489436921</v>
      </c>
      <c r="AJ220" s="59"/>
      <c r="AK220" s="26" t="s">
        <v>352</v>
      </c>
      <c r="AL220" s="45">
        <v>33716.6</v>
      </c>
      <c r="AM220" s="45">
        <v>9454.94</v>
      </c>
      <c r="AN220" s="2">
        <v>14266.92</v>
      </c>
      <c r="AO220" s="2">
        <v>28346.25</v>
      </c>
      <c r="AP220" s="1">
        <v>90336.5</v>
      </c>
      <c r="AQ220" s="1">
        <v>33501.04</v>
      </c>
      <c r="AR220" s="24">
        <v>15639.79</v>
      </c>
      <c r="AS220" s="24">
        <v>10838.41</v>
      </c>
      <c r="AT220" s="1">
        <v>14409.06</v>
      </c>
      <c r="AU220" s="1">
        <v>14135.33</v>
      </c>
      <c r="AV220" s="24">
        <v>11319.99</v>
      </c>
      <c r="AW220" s="24">
        <v>9454.94</v>
      </c>
      <c r="AX220" s="45">
        <v>16022.26</v>
      </c>
      <c r="AY220" s="45">
        <v>9454.94</v>
      </c>
      <c r="AZ220" s="24">
        <v>59053.79</v>
      </c>
      <c r="BA220" s="24">
        <v>44949.79</v>
      </c>
      <c r="BB220" s="24">
        <v>21316.3</v>
      </c>
      <c r="BC220" s="24">
        <v>13078.22</v>
      </c>
      <c r="BD220" s="24">
        <v>-45566.49</v>
      </c>
      <c r="BE220" s="24">
        <v>16208.74</v>
      </c>
      <c r="BF220" s="24">
        <v>8628.75</v>
      </c>
      <c r="BG220" s="24">
        <v>10962.94</v>
      </c>
      <c r="BH220" s="24">
        <v>15212.07</v>
      </c>
      <c r="BI220" s="24">
        <v>9454.94</v>
      </c>
      <c r="BJ220" s="9">
        <f t="shared" si="74"/>
        <v>254355.54000000004</v>
      </c>
      <c r="BK220" s="9">
        <f t="shared" si="75"/>
        <v>209840.48</v>
      </c>
      <c r="BL220" s="153">
        <f t="shared" si="76"/>
        <v>464196.02</v>
      </c>
      <c r="BM220" s="154"/>
      <c r="BN220" s="154"/>
      <c r="BO220" s="154"/>
      <c r="BP220" s="154"/>
      <c r="BQ220" s="154"/>
      <c r="BR220" s="155">
        <f t="shared" si="91"/>
        <v>464196.02</v>
      </c>
      <c r="BS220" s="198">
        <v>2444.41</v>
      </c>
      <c r="BT220" s="199">
        <v>4128</v>
      </c>
      <c r="BU220" s="20">
        <f t="shared" si="90"/>
        <v>-181832.91199999992</v>
      </c>
      <c r="BV220" s="231">
        <v>219426.02</v>
      </c>
      <c r="BW220" s="229"/>
      <c r="BX220" s="230"/>
    </row>
    <row r="221" spans="1:76" ht="15.75">
      <c r="A221" s="1">
        <v>214</v>
      </c>
      <c r="B221" s="1" t="s">
        <v>200</v>
      </c>
      <c r="C221" s="1">
        <v>2640.6</v>
      </c>
      <c r="D221" s="1">
        <v>0</v>
      </c>
      <c r="E221" s="1">
        <f t="shared" si="78"/>
        <v>2640.6</v>
      </c>
      <c r="F221" s="2">
        <v>15.87</v>
      </c>
      <c r="G221" s="2">
        <f t="shared" si="92"/>
        <v>41906.322</v>
      </c>
      <c r="H221" s="2">
        <f t="shared" si="71"/>
        <v>251437.932</v>
      </c>
      <c r="I221" s="2">
        <f t="shared" si="79"/>
        <v>15.87</v>
      </c>
      <c r="J221" s="2">
        <f t="shared" si="80"/>
        <v>41906.322</v>
      </c>
      <c r="K221" s="2">
        <f t="shared" si="72"/>
        <v>251437.932</v>
      </c>
      <c r="L221" s="97">
        <f t="shared" si="77"/>
        <v>502875.864</v>
      </c>
      <c r="M221" s="109">
        <v>3.92</v>
      </c>
      <c r="N221" s="89">
        <f t="shared" si="81"/>
        <v>124213.824</v>
      </c>
      <c r="O221" s="64">
        <v>1.46</v>
      </c>
      <c r="P221" s="90">
        <f t="shared" si="82"/>
        <v>46263.312</v>
      </c>
      <c r="Q221" s="64"/>
      <c r="R221" s="90">
        <f t="shared" si="83"/>
        <v>0</v>
      </c>
      <c r="S221" s="64"/>
      <c r="T221" s="91">
        <f t="shared" si="84"/>
        <v>0</v>
      </c>
      <c r="U221" s="64">
        <v>0.7</v>
      </c>
      <c r="V221" s="90">
        <f t="shared" si="85"/>
        <v>22181.039999999997</v>
      </c>
      <c r="W221" s="96"/>
      <c r="X221" s="91">
        <f t="shared" si="86"/>
        <v>0</v>
      </c>
      <c r="Y221" s="110">
        <f t="shared" si="89"/>
        <v>192658.176</v>
      </c>
      <c r="Z221" s="32">
        <v>-60884.97</v>
      </c>
      <c r="AA221" s="12">
        <f t="shared" si="87"/>
        <v>-0.12107355782738462</v>
      </c>
      <c r="AB221" s="25">
        <f t="shared" si="88"/>
        <v>441990.894</v>
      </c>
      <c r="AC221" s="166">
        <v>120000</v>
      </c>
      <c r="AD221" s="8">
        <f t="shared" si="73"/>
        <v>321990.894</v>
      </c>
      <c r="AE221" s="167">
        <v>181517.136</v>
      </c>
      <c r="AF221" s="168">
        <v>14746.646028047757</v>
      </c>
      <c r="AG221" s="168">
        <v>12085.92847195224</v>
      </c>
      <c r="AH221" s="168">
        <v>176959.7523365731</v>
      </c>
      <c r="AI221" s="168">
        <v>145031.14166342688</v>
      </c>
      <c r="AJ221" s="59"/>
      <c r="AK221" s="26" t="s">
        <v>352</v>
      </c>
      <c r="AL221" s="45">
        <v>27261.12</v>
      </c>
      <c r="AM221" s="45">
        <v>8128.84</v>
      </c>
      <c r="AN221" s="2">
        <v>72452.61</v>
      </c>
      <c r="AO221" s="2">
        <v>8128.84</v>
      </c>
      <c r="AP221" s="1">
        <v>10462.44</v>
      </c>
      <c r="AQ221" s="1">
        <v>20766.44</v>
      </c>
      <c r="AR221" s="24">
        <v>7993.08</v>
      </c>
      <c r="AS221" s="24">
        <v>9404.84</v>
      </c>
      <c r="AT221" s="1">
        <v>11340.14</v>
      </c>
      <c r="AU221" s="1">
        <v>11660.03</v>
      </c>
      <c r="AV221" s="24">
        <v>11086.01</v>
      </c>
      <c r="AW221" s="24">
        <v>8128.84</v>
      </c>
      <c r="AX221" s="45">
        <v>18782</v>
      </c>
      <c r="AY221" s="45">
        <v>15598.55</v>
      </c>
      <c r="AZ221" s="24">
        <v>9146.95</v>
      </c>
      <c r="BA221" s="24">
        <v>64320.96</v>
      </c>
      <c r="BB221" s="24">
        <v>15159.98</v>
      </c>
      <c r="BC221" s="24">
        <v>12975.08</v>
      </c>
      <c r="BD221" s="24">
        <v>8098.39</v>
      </c>
      <c r="BE221" s="24">
        <v>54490.37</v>
      </c>
      <c r="BF221" s="24">
        <v>8112.33</v>
      </c>
      <c r="BG221" s="24">
        <v>22507.26</v>
      </c>
      <c r="BH221" s="24">
        <v>36136.69</v>
      </c>
      <c r="BI221" s="24">
        <v>7903.96</v>
      </c>
      <c r="BJ221" s="9">
        <f t="shared" si="74"/>
        <v>236031.74000000002</v>
      </c>
      <c r="BK221" s="9">
        <f t="shared" si="75"/>
        <v>244014.00999999998</v>
      </c>
      <c r="BL221" s="153">
        <f t="shared" si="76"/>
        <v>480045.75</v>
      </c>
      <c r="BM221" s="154"/>
      <c r="BN221" s="154">
        <f>108000+17067.78+126334.8</f>
        <v>251402.58000000002</v>
      </c>
      <c r="BO221" s="154"/>
      <c r="BP221" s="154"/>
      <c r="BQ221" s="154"/>
      <c r="BR221" s="155">
        <f t="shared" si="91"/>
        <v>731448.3300000001</v>
      </c>
      <c r="BS221" s="198"/>
      <c r="BT221" s="199">
        <v>4128</v>
      </c>
      <c r="BU221" s="20">
        <f t="shared" si="90"/>
        <v>-289457.4360000001</v>
      </c>
      <c r="BV221" s="231">
        <v>434564.32</v>
      </c>
      <c r="BW221" s="229"/>
      <c r="BX221" s="230"/>
    </row>
    <row r="222" spans="1:76" ht="15.75">
      <c r="A222" s="1">
        <v>215</v>
      </c>
      <c r="B222" s="1" t="s">
        <v>201</v>
      </c>
      <c r="C222" s="1">
        <v>2649.2</v>
      </c>
      <c r="D222" s="1">
        <v>801.1</v>
      </c>
      <c r="E222" s="1">
        <f t="shared" si="78"/>
        <v>3450.2999999999997</v>
      </c>
      <c r="F222" s="2">
        <v>14.14</v>
      </c>
      <c r="G222" s="2">
        <f t="shared" si="92"/>
        <v>48787.242</v>
      </c>
      <c r="H222" s="2">
        <f t="shared" si="71"/>
        <v>292723.452</v>
      </c>
      <c r="I222" s="2">
        <f t="shared" si="79"/>
        <v>14.14</v>
      </c>
      <c r="J222" s="2">
        <f t="shared" si="80"/>
        <v>48787.242</v>
      </c>
      <c r="K222" s="2">
        <f t="shared" si="72"/>
        <v>292723.452</v>
      </c>
      <c r="L222" s="97">
        <f t="shared" si="77"/>
        <v>585446.904</v>
      </c>
      <c r="M222" s="109">
        <v>3.92</v>
      </c>
      <c r="N222" s="89">
        <f t="shared" si="81"/>
        <v>162302.112</v>
      </c>
      <c r="O222" s="64">
        <v>1.46</v>
      </c>
      <c r="P222" s="90">
        <f t="shared" si="82"/>
        <v>60449.255999999994</v>
      </c>
      <c r="Q222" s="64"/>
      <c r="R222" s="90">
        <f t="shared" si="83"/>
        <v>0</v>
      </c>
      <c r="S222" s="64"/>
      <c r="T222" s="91">
        <f t="shared" si="84"/>
        <v>0</v>
      </c>
      <c r="U222" s="64">
        <v>0.44</v>
      </c>
      <c r="V222" s="90">
        <f t="shared" si="85"/>
        <v>18217.584</v>
      </c>
      <c r="W222" s="96"/>
      <c r="X222" s="91">
        <f t="shared" si="86"/>
        <v>0</v>
      </c>
      <c r="Y222" s="110">
        <f t="shared" si="89"/>
        <v>240968.952</v>
      </c>
      <c r="Z222" s="32"/>
      <c r="AA222" s="12">
        <f t="shared" si="87"/>
        <v>0</v>
      </c>
      <c r="AB222" s="25">
        <f t="shared" si="88"/>
        <v>585446.904</v>
      </c>
      <c r="AC222" s="44"/>
      <c r="AD222" s="8">
        <f t="shared" si="73"/>
        <v>585446.904</v>
      </c>
      <c r="AE222" s="167">
        <v>225511.36800000002</v>
      </c>
      <c r="AF222" s="168">
        <v>26638.249215212567</v>
      </c>
      <c r="AG222" s="168">
        <v>22148.99278478743</v>
      </c>
      <c r="AH222" s="168">
        <v>319658.9905825508</v>
      </c>
      <c r="AI222" s="168">
        <v>265787.91341744916</v>
      </c>
      <c r="AJ222" s="59"/>
      <c r="AK222" s="59"/>
      <c r="AL222" s="45">
        <v>55539.5</v>
      </c>
      <c r="AM222" s="45">
        <v>9649.32</v>
      </c>
      <c r="AN222" s="2">
        <v>6933.18</v>
      </c>
      <c r="AO222" s="2">
        <v>10279.32</v>
      </c>
      <c r="AP222" s="1">
        <v>6210.54</v>
      </c>
      <c r="AQ222" s="1">
        <v>9649.32</v>
      </c>
      <c r="AR222" s="24">
        <v>6210.54</v>
      </c>
      <c r="AS222" s="24">
        <v>15998.3</v>
      </c>
      <c r="AT222" s="1">
        <v>11558.51</v>
      </c>
      <c r="AU222" s="1">
        <v>9649.32</v>
      </c>
      <c r="AV222" s="24">
        <v>15894.92</v>
      </c>
      <c r="AW222" s="24">
        <v>14380.5</v>
      </c>
      <c r="AX222" s="45">
        <v>13115.51</v>
      </c>
      <c r="AY222" s="45">
        <v>10337.71</v>
      </c>
      <c r="AZ222" s="24">
        <v>11558.51</v>
      </c>
      <c r="BA222" s="24">
        <v>17584.32</v>
      </c>
      <c r="BB222" s="24">
        <v>13725.78</v>
      </c>
      <c r="BC222" s="24">
        <v>14168.72</v>
      </c>
      <c r="BD222" s="24">
        <v>6858.54</v>
      </c>
      <c r="BE222" s="24">
        <v>122597.62</v>
      </c>
      <c r="BF222" s="24">
        <v>16904.09</v>
      </c>
      <c r="BG222" s="24">
        <v>17519.58</v>
      </c>
      <c r="BH222" s="24">
        <v>9644.98</v>
      </c>
      <c r="BI222" s="24">
        <v>25864.78</v>
      </c>
      <c r="BJ222" s="9">
        <f t="shared" si="74"/>
        <v>174154.6</v>
      </c>
      <c r="BK222" s="9">
        <f t="shared" si="75"/>
        <v>277678.80999999994</v>
      </c>
      <c r="BL222" s="153">
        <f t="shared" si="76"/>
        <v>451833.4099999999</v>
      </c>
      <c r="BM222" s="154"/>
      <c r="BN222" s="154"/>
      <c r="BO222" s="154"/>
      <c r="BP222" s="154"/>
      <c r="BQ222" s="154"/>
      <c r="BR222" s="155">
        <f t="shared" si="91"/>
        <v>451833.4099999999</v>
      </c>
      <c r="BS222" s="198">
        <v>2518.72</v>
      </c>
      <c r="BT222" s="199">
        <v>4128</v>
      </c>
      <c r="BU222" s="20">
        <f t="shared" si="90"/>
        <v>136132.21400000007</v>
      </c>
      <c r="BV222" s="231">
        <v>272947.12</v>
      </c>
      <c r="BW222" s="229"/>
      <c r="BX222" s="230"/>
    </row>
    <row r="223" spans="1:76" ht="15.75">
      <c r="A223" s="1">
        <v>216</v>
      </c>
      <c r="B223" s="1" t="s">
        <v>202</v>
      </c>
      <c r="C223" s="27">
        <v>3051.8</v>
      </c>
      <c r="D223" s="1">
        <v>391.7</v>
      </c>
      <c r="E223" s="1">
        <f t="shared" si="78"/>
        <v>3443.5</v>
      </c>
      <c r="F223" s="2">
        <v>15.22</v>
      </c>
      <c r="G223" s="2">
        <f t="shared" si="92"/>
        <v>52410.07</v>
      </c>
      <c r="H223" s="2">
        <f t="shared" si="71"/>
        <v>314460.42</v>
      </c>
      <c r="I223" s="2">
        <f t="shared" si="79"/>
        <v>15.22</v>
      </c>
      <c r="J223" s="2">
        <f t="shared" si="80"/>
        <v>52410.07</v>
      </c>
      <c r="K223" s="2">
        <f t="shared" si="72"/>
        <v>314460.42</v>
      </c>
      <c r="L223" s="97">
        <f t="shared" si="77"/>
        <v>628920.84</v>
      </c>
      <c r="M223" s="109">
        <v>3.92</v>
      </c>
      <c r="N223" s="89">
        <f t="shared" si="81"/>
        <v>161982.24</v>
      </c>
      <c r="O223" s="64">
        <v>1.46</v>
      </c>
      <c r="P223" s="90">
        <f t="shared" si="82"/>
        <v>60330.12</v>
      </c>
      <c r="Q223" s="64"/>
      <c r="R223" s="90">
        <f t="shared" si="83"/>
        <v>0</v>
      </c>
      <c r="S223" s="64"/>
      <c r="T223" s="91">
        <f t="shared" si="84"/>
        <v>0</v>
      </c>
      <c r="U223" s="64">
        <v>0.43</v>
      </c>
      <c r="V223" s="90">
        <f t="shared" si="85"/>
        <v>17768.46</v>
      </c>
      <c r="W223" s="96"/>
      <c r="X223" s="91">
        <f t="shared" si="86"/>
        <v>0</v>
      </c>
      <c r="Y223" s="110">
        <f t="shared" si="89"/>
        <v>240080.81999999998</v>
      </c>
      <c r="Z223" s="32"/>
      <c r="AA223" s="12">
        <f t="shared" si="87"/>
        <v>0</v>
      </c>
      <c r="AB223" s="25">
        <f t="shared" si="88"/>
        <v>628920.84</v>
      </c>
      <c r="AC223" s="166"/>
      <c r="AD223" s="8">
        <f t="shared" si="73"/>
        <v>628920.84</v>
      </c>
      <c r="AE223" s="167">
        <v>225156.28800000006</v>
      </c>
      <c r="AF223" s="168">
        <v>30290.53189712761</v>
      </c>
      <c r="AG223" s="168">
        <v>22119.538102872382</v>
      </c>
      <c r="AH223" s="168">
        <v>363486.3827655313</v>
      </c>
      <c r="AI223" s="168">
        <v>265434.4572344686</v>
      </c>
      <c r="AJ223" s="59"/>
      <c r="AK223" s="59"/>
      <c r="AL223" s="45">
        <v>7336.87</v>
      </c>
      <c r="AM223" s="45">
        <v>9634.3</v>
      </c>
      <c r="AN223" s="2">
        <v>58753.58</v>
      </c>
      <c r="AO223" s="2">
        <v>14282.19</v>
      </c>
      <c r="AP223" s="1">
        <v>7813.68</v>
      </c>
      <c r="AQ223" s="1">
        <v>52605.97</v>
      </c>
      <c r="AR223" s="24">
        <v>6826.5</v>
      </c>
      <c r="AS223" s="24">
        <v>10910.3</v>
      </c>
      <c r="AT223" s="1">
        <v>11540.08</v>
      </c>
      <c r="AU223" s="1">
        <v>9634.3</v>
      </c>
      <c r="AV223" s="24">
        <v>15047.08</v>
      </c>
      <c r="AW223" s="24">
        <v>11182.2</v>
      </c>
      <c r="AX223" s="45">
        <v>14092.71</v>
      </c>
      <c r="AY223" s="45">
        <v>9634.3</v>
      </c>
      <c r="AZ223" s="24">
        <v>87005.91</v>
      </c>
      <c r="BA223" s="24">
        <v>17569.3</v>
      </c>
      <c r="BB223" s="24">
        <v>11540.08</v>
      </c>
      <c r="BC223" s="24">
        <v>11738.18</v>
      </c>
      <c r="BD223" s="24">
        <v>7214.64</v>
      </c>
      <c r="BE223" s="24">
        <v>9634.3</v>
      </c>
      <c r="BF223" s="24">
        <v>12298.18</v>
      </c>
      <c r="BG223" s="24">
        <v>14393.92</v>
      </c>
      <c r="BH223" s="24">
        <v>6200.64</v>
      </c>
      <c r="BI223" s="24">
        <v>9634.3</v>
      </c>
      <c r="BJ223" s="9">
        <f t="shared" si="74"/>
        <v>245669.95</v>
      </c>
      <c r="BK223" s="9">
        <f t="shared" si="75"/>
        <v>180853.55999999997</v>
      </c>
      <c r="BL223" s="153">
        <f t="shared" si="76"/>
        <v>426523.51</v>
      </c>
      <c r="BM223" s="154"/>
      <c r="BN223" s="154"/>
      <c r="BO223" s="154"/>
      <c r="BP223" s="154">
        <v>3066.42</v>
      </c>
      <c r="BQ223" s="154"/>
      <c r="BR223" s="155">
        <f t="shared" si="91"/>
        <v>429589.93</v>
      </c>
      <c r="BS223" s="198"/>
      <c r="BT223" s="199">
        <v>4128</v>
      </c>
      <c r="BU223" s="20">
        <f t="shared" si="90"/>
        <v>199330.90999999997</v>
      </c>
      <c r="BV223" s="231">
        <v>177174.17</v>
      </c>
      <c r="BW223" s="229"/>
      <c r="BX223" s="230"/>
    </row>
    <row r="224" spans="1:76" ht="15.75">
      <c r="A224" s="1">
        <v>217</v>
      </c>
      <c r="B224" s="1" t="s">
        <v>203</v>
      </c>
      <c r="C224" s="1">
        <v>2500.4</v>
      </c>
      <c r="D224" s="1">
        <v>0</v>
      </c>
      <c r="E224" s="1">
        <f t="shared" si="78"/>
        <v>2500.4</v>
      </c>
      <c r="F224" s="2">
        <v>15.22</v>
      </c>
      <c r="G224" s="2">
        <f t="shared" si="92"/>
        <v>38056.088</v>
      </c>
      <c r="H224" s="2">
        <f t="shared" si="71"/>
        <v>228336.52800000002</v>
      </c>
      <c r="I224" s="2">
        <f t="shared" si="79"/>
        <v>15.22</v>
      </c>
      <c r="J224" s="2">
        <f t="shared" si="80"/>
        <v>38056.088</v>
      </c>
      <c r="K224" s="2">
        <f t="shared" si="72"/>
        <v>228336.52800000002</v>
      </c>
      <c r="L224" s="97">
        <f t="shared" si="77"/>
        <v>456673.05600000004</v>
      </c>
      <c r="M224" s="109">
        <v>3.92</v>
      </c>
      <c r="N224" s="89">
        <f t="shared" si="81"/>
        <v>117618.81599999999</v>
      </c>
      <c r="O224" s="64">
        <v>1.46</v>
      </c>
      <c r="P224" s="90">
        <f t="shared" si="82"/>
        <v>43807.008</v>
      </c>
      <c r="Q224" s="64"/>
      <c r="R224" s="90">
        <f t="shared" si="83"/>
        <v>0</v>
      </c>
      <c r="S224" s="64"/>
      <c r="T224" s="91">
        <f t="shared" si="84"/>
        <v>0</v>
      </c>
      <c r="U224" s="64">
        <v>0.14</v>
      </c>
      <c r="V224" s="90">
        <f t="shared" si="85"/>
        <v>4200.6720000000005</v>
      </c>
      <c r="W224" s="96"/>
      <c r="X224" s="91">
        <f t="shared" si="86"/>
        <v>0</v>
      </c>
      <c r="Y224" s="110">
        <f t="shared" si="89"/>
        <v>165626.49599999998</v>
      </c>
      <c r="Z224" s="32"/>
      <c r="AA224" s="12">
        <f t="shared" si="87"/>
        <v>0</v>
      </c>
      <c r="AB224" s="25">
        <f t="shared" si="88"/>
        <v>456673.05600000004</v>
      </c>
      <c r="AC224" s="44"/>
      <c r="AD224" s="8">
        <f t="shared" si="73"/>
        <v>456673.05600000004</v>
      </c>
      <c r="AE224" s="167">
        <v>164185.82400000002</v>
      </c>
      <c r="AF224" s="168">
        <v>22184.523849659792</v>
      </c>
      <c r="AG224" s="168">
        <v>15871.564150340208</v>
      </c>
      <c r="AH224" s="168">
        <v>266214.2861959175</v>
      </c>
      <c r="AI224" s="168">
        <v>190458.7698040825</v>
      </c>
      <c r="AJ224" s="59"/>
      <c r="AK224" s="59"/>
      <c r="AL224" s="45">
        <v>8808.91</v>
      </c>
      <c r="AM224" s="45">
        <v>7056.09</v>
      </c>
      <c r="AN224" s="2">
        <v>39021.15</v>
      </c>
      <c r="AO224" s="2">
        <v>7056.09</v>
      </c>
      <c r="AP224" s="1">
        <v>8074.67</v>
      </c>
      <c r="AQ224" s="1">
        <v>19209.94</v>
      </c>
      <c r="AR224" s="24">
        <v>6660.72</v>
      </c>
      <c r="AS224" s="24">
        <v>11779.12</v>
      </c>
      <c r="AT224" s="1">
        <v>8376.34</v>
      </c>
      <c r="AU224" s="1">
        <v>7056.09</v>
      </c>
      <c r="AV224" s="24">
        <v>20232.49</v>
      </c>
      <c r="AW224" s="24">
        <v>7056.09</v>
      </c>
      <c r="AX224" s="45">
        <v>11192.22</v>
      </c>
      <c r="AY224" s="45">
        <v>7056.09</v>
      </c>
      <c r="AZ224" s="24">
        <v>71946.75</v>
      </c>
      <c r="BA224" s="24">
        <v>16465.08</v>
      </c>
      <c r="BB224" s="24">
        <v>13221.97</v>
      </c>
      <c r="BC224" s="24">
        <v>13710.77</v>
      </c>
      <c r="BD224" s="24">
        <v>10163.97</v>
      </c>
      <c r="BE224" s="24">
        <v>12427.22</v>
      </c>
      <c r="BF224" s="24">
        <v>7798.26</v>
      </c>
      <c r="BG224" s="24">
        <v>12128.18</v>
      </c>
      <c r="BH224" s="24">
        <v>13917.21</v>
      </c>
      <c r="BI224" s="24">
        <v>60628.46</v>
      </c>
      <c r="BJ224" s="9">
        <f t="shared" si="74"/>
        <v>219414.66</v>
      </c>
      <c r="BK224" s="9">
        <f t="shared" si="75"/>
        <v>181629.22</v>
      </c>
      <c r="BL224" s="153">
        <f t="shared" si="76"/>
        <v>401043.88</v>
      </c>
      <c r="BM224" s="154"/>
      <c r="BN224" s="154"/>
      <c r="BO224" s="154"/>
      <c r="BP224" s="154"/>
      <c r="BQ224" s="154"/>
      <c r="BR224" s="155">
        <f t="shared" si="91"/>
        <v>401043.88</v>
      </c>
      <c r="BS224" s="198"/>
      <c r="BT224" s="199">
        <v>4128</v>
      </c>
      <c r="BU224" s="20">
        <f t="shared" si="90"/>
        <v>55629.176000000036</v>
      </c>
      <c r="BV224" s="231">
        <v>696377.28</v>
      </c>
      <c r="BW224" s="229"/>
      <c r="BX224" s="230"/>
    </row>
    <row r="225" spans="1:76" ht="15.75">
      <c r="A225" s="1">
        <v>218</v>
      </c>
      <c r="B225" s="1" t="s">
        <v>204</v>
      </c>
      <c r="C225" s="1">
        <v>2239.18</v>
      </c>
      <c r="D225" s="1">
        <v>0</v>
      </c>
      <c r="E225" s="1">
        <f t="shared" si="78"/>
        <v>2239.18</v>
      </c>
      <c r="F225" s="2">
        <v>15.87</v>
      </c>
      <c r="G225" s="2">
        <f t="shared" si="92"/>
        <v>35535.78659999999</v>
      </c>
      <c r="H225" s="2">
        <f t="shared" si="71"/>
        <v>213214.71959999995</v>
      </c>
      <c r="I225" s="2">
        <f t="shared" si="79"/>
        <v>15.87</v>
      </c>
      <c r="J225" s="2">
        <f t="shared" si="80"/>
        <v>35535.78659999999</v>
      </c>
      <c r="K225" s="2">
        <f t="shared" si="72"/>
        <v>213214.71959999995</v>
      </c>
      <c r="L225" s="97">
        <f t="shared" si="77"/>
        <v>426429.4391999999</v>
      </c>
      <c r="M225" s="109">
        <v>3.92</v>
      </c>
      <c r="N225" s="89">
        <f t="shared" si="81"/>
        <v>105331.02719999998</v>
      </c>
      <c r="O225" s="64">
        <v>1.46</v>
      </c>
      <c r="P225" s="90">
        <f t="shared" si="82"/>
        <v>39230.4336</v>
      </c>
      <c r="Q225" s="64"/>
      <c r="R225" s="90">
        <f t="shared" si="83"/>
        <v>0</v>
      </c>
      <c r="S225" s="64"/>
      <c r="T225" s="91">
        <f t="shared" si="84"/>
        <v>0</v>
      </c>
      <c r="U225" s="64">
        <v>0.15</v>
      </c>
      <c r="V225" s="90">
        <f t="shared" si="85"/>
        <v>4030.5239999999994</v>
      </c>
      <c r="W225" s="96"/>
      <c r="X225" s="91">
        <f t="shared" si="86"/>
        <v>0</v>
      </c>
      <c r="Y225" s="110">
        <f t="shared" si="89"/>
        <v>148591.98479999998</v>
      </c>
      <c r="Z225" s="32">
        <v>-1324717.81</v>
      </c>
      <c r="AA225" s="12">
        <f t="shared" si="87"/>
        <v>-3.10653460625333</v>
      </c>
      <c r="AB225" s="25">
        <f t="shared" si="88"/>
        <v>-898288.3708000001</v>
      </c>
      <c r="AC225" s="44"/>
      <c r="AD225" s="8">
        <f t="shared" si="73"/>
        <v>-898288.3708000001</v>
      </c>
      <c r="AE225" s="167">
        <v>147321.4608</v>
      </c>
      <c r="AF225" s="168">
        <v>5793.180144631534</v>
      </c>
      <c r="AG225" s="168">
        <v>6483.6082553684655</v>
      </c>
      <c r="AH225" s="168">
        <v>69518.16173557841</v>
      </c>
      <c r="AI225" s="168">
        <v>77803.29906442159</v>
      </c>
      <c r="AJ225" s="59"/>
      <c r="AK225" s="26" t="s">
        <v>352</v>
      </c>
      <c r="AL225" s="45">
        <v>10153.58</v>
      </c>
      <c r="AM225" s="45">
        <v>9823.4</v>
      </c>
      <c r="AN225" s="2">
        <v>58021.06</v>
      </c>
      <c r="AO225" s="2">
        <v>20834.46</v>
      </c>
      <c r="AP225" s="1">
        <v>4030.52</v>
      </c>
      <c r="AQ225" s="1">
        <v>10325.95</v>
      </c>
      <c r="AR225" s="24">
        <v>8350.52</v>
      </c>
      <c r="AS225" s="24">
        <v>7618.96</v>
      </c>
      <c r="AT225" s="1">
        <v>7501.25</v>
      </c>
      <c r="AU225" s="1">
        <v>8758.48</v>
      </c>
      <c r="AV225" s="24">
        <v>9496.25</v>
      </c>
      <c r="AW225" s="24">
        <v>6342.96</v>
      </c>
      <c r="AX225" s="45">
        <v>18107.86</v>
      </c>
      <c r="AY225" s="45">
        <v>6342.96</v>
      </c>
      <c r="AZ225" s="24">
        <v>7501.25</v>
      </c>
      <c r="BA225" s="24">
        <v>27257.29</v>
      </c>
      <c r="BB225" s="24">
        <v>9712.25</v>
      </c>
      <c r="BC225" s="24">
        <v>33415.49</v>
      </c>
      <c r="BD225" s="24">
        <v>5009.32</v>
      </c>
      <c r="BE225" s="24">
        <v>6342.96</v>
      </c>
      <c r="BF225" s="24">
        <v>6680.06</v>
      </c>
      <c r="BG225" s="24">
        <v>6342.96</v>
      </c>
      <c r="BH225" s="24">
        <v>5394.96</v>
      </c>
      <c r="BI225" s="24">
        <v>6342.96</v>
      </c>
      <c r="BJ225" s="9">
        <f t="shared" si="74"/>
        <v>149958.88</v>
      </c>
      <c r="BK225" s="9">
        <f t="shared" si="75"/>
        <v>149748.82999999996</v>
      </c>
      <c r="BL225" s="153">
        <f t="shared" si="76"/>
        <v>299707.70999999996</v>
      </c>
      <c r="BM225" s="154"/>
      <c r="BN225" s="154"/>
      <c r="BO225" s="154"/>
      <c r="BP225" s="154"/>
      <c r="BQ225" s="154"/>
      <c r="BR225" s="155">
        <f t="shared" si="91"/>
        <v>299707.70999999996</v>
      </c>
      <c r="BS225" s="198"/>
      <c r="BT225" s="199">
        <v>4128</v>
      </c>
      <c r="BU225" s="20">
        <f t="shared" si="90"/>
        <v>-1197996.0808</v>
      </c>
      <c r="BV225" s="231">
        <v>52946.1</v>
      </c>
      <c r="BW225" s="229"/>
      <c r="BX225" s="230"/>
    </row>
    <row r="226" spans="1:76" ht="15.75">
      <c r="A226" s="1">
        <v>219</v>
      </c>
      <c r="B226" s="1" t="s">
        <v>205</v>
      </c>
      <c r="C226" s="1">
        <v>3052.7</v>
      </c>
      <c r="D226" s="1">
        <v>206.1</v>
      </c>
      <c r="E226" s="1">
        <f t="shared" si="78"/>
        <v>3258.7999999999997</v>
      </c>
      <c r="F226" s="2">
        <v>15.22</v>
      </c>
      <c r="G226" s="2">
        <f t="shared" si="92"/>
        <v>49598.936</v>
      </c>
      <c r="H226" s="2">
        <f t="shared" si="71"/>
        <v>297593.61600000004</v>
      </c>
      <c r="I226" s="2">
        <f t="shared" si="79"/>
        <v>15.22</v>
      </c>
      <c r="J226" s="2">
        <f t="shared" si="80"/>
        <v>49598.936</v>
      </c>
      <c r="K226" s="2">
        <f t="shared" si="72"/>
        <v>297593.61600000004</v>
      </c>
      <c r="L226" s="97">
        <f t="shared" si="77"/>
        <v>595187.2320000001</v>
      </c>
      <c r="M226" s="109">
        <v>3.92</v>
      </c>
      <c r="N226" s="89">
        <f t="shared" si="81"/>
        <v>153293.952</v>
      </c>
      <c r="O226" s="64">
        <v>1.46</v>
      </c>
      <c r="P226" s="90">
        <f t="shared" si="82"/>
        <v>57094.17599999999</v>
      </c>
      <c r="Q226" s="64"/>
      <c r="R226" s="90">
        <f t="shared" si="83"/>
        <v>0</v>
      </c>
      <c r="S226" s="64"/>
      <c r="T226" s="91">
        <f t="shared" si="84"/>
        <v>0</v>
      </c>
      <c r="U226" s="64">
        <v>0.46</v>
      </c>
      <c r="V226" s="90">
        <f t="shared" si="85"/>
        <v>17988.576</v>
      </c>
      <c r="W226" s="96"/>
      <c r="X226" s="91">
        <f t="shared" si="86"/>
        <v>0</v>
      </c>
      <c r="Y226" s="110">
        <f t="shared" si="89"/>
        <v>228376.70399999997</v>
      </c>
      <c r="Z226" s="32"/>
      <c r="AA226" s="12">
        <f t="shared" si="87"/>
        <v>0</v>
      </c>
      <c r="AB226" s="25">
        <f t="shared" si="88"/>
        <v>595187.2320000001</v>
      </c>
      <c r="AC226" s="166"/>
      <c r="AD226" s="8">
        <f t="shared" si="73"/>
        <v>595187.2320000001</v>
      </c>
      <c r="AE226" s="167">
        <v>213148.12800000006</v>
      </c>
      <c r="AF226" s="168">
        <v>28913.344531559513</v>
      </c>
      <c r="AG226" s="168">
        <v>20685.591468440492</v>
      </c>
      <c r="AH226" s="168">
        <v>346960.13437871414</v>
      </c>
      <c r="AI226" s="168">
        <v>248227.0976212859</v>
      </c>
      <c r="AJ226" s="59"/>
      <c r="AK226" s="59"/>
      <c r="AL226" s="45">
        <v>6342.77</v>
      </c>
      <c r="AM226" s="45">
        <v>14559.31</v>
      </c>
      <c r="AN226" s="2">
        <v>38320.74</v>
      </c>
      <c r="AO226" s="2">
        <v>8879.87</v>
      </c>
      <c r="AP226" s="1">
        <v>32011.2</v>
      </c>
      <c r="AQ226" s="1">
        <v>9366.84</v>
      </c>
      <c r="AR226" s="24">
        <v>24393.85</v>
      </c>
      <c r="AS226" s="24">
        <v>106972.14</v>
      </c>
      <c r="AT226" s="1">
        <v>13937.46</v>
      </c>
      <c r="AU226" s="1">
        <v>9594.11</v>
      </c>
      <c r="AV226" s="24">
        <v>15665.21</v>
      </c>
      <c r="AW226" s="24">
        <v>8879.87</v>
      </c>
      <c r="AX226" s="45">
        <v>15192.96</v>
      </c>
      <c r="AY226" s="45">
        <v>8879.87</v>
      </c>
      <c r="AZ226" s="24">
        <v>13498.71</v>
      </c>
      <c r="BA226" s="24">
        <v>31286.43</v>
      </c>
      <c r="BB226" s="24">
        <v>15744.71</v>
      </c>
      <c r="BC226" s="24">
        <v>13399.27</v>
      </c>
      <c r="BD226" s="24">
        <v>14564.91</v>
      </c>
      <c r="BE226" s="24">
        <v>77620.8</v>
      </c>
      <c r="BF226" s="24">
        <v>9039.56</v>
      </c>
      <c r="BG226" s="24">
        <v>56128.17</v>
      </c>
      <c r="BH226" s="24">
        <v>6342.77</v>
      </c>
      <c r="BI226" s="24">
        <v>65245.54</v>
      </c>
      <c r="BJ226" s="9">
        <f t="shared" si="74"/>
        <v>205054.84999999995</v>
      </c>
      <c r="BK226" s="9">
        <f t="shared" si="75"/>
        <v>410812.22</v>
      </c>
      <c r="BL226" s="153">
        <f t="shared" si="76"/>
        <v>615867.07</v>
      </c>
      <c r="BM226" s="154"/>
      <c r="BN226" s="154">
        <f>73873.45-33075.88</f>
        <v>40797.57</v>
      </c>
      <c r="BO226" s="154"/>
      <c r="BP226" s="154"/>
      <c r="BQ226" s="154"/>
      <c r="BR226" s="155">
        <f t="shared" si="91"/>
        <v>656664.6399999999</v>
      </c>
      <c r="BS226" s="198"/>
      <c r="BT226" s="199">
        <v>4128</v>
      </c>
      <c r="BU226" s="20">
        <f t="shared" si="90"/>
        <v>-61477.40799999982</v>
      </c>
      <c r="BV226" s="231">
        <v>535719.08</v>
      </c>
      <c r="BW226" s="229"/>
      <c r="BX226" s="230"/>
    </row>
    <row r="227" spans="1:76" ht="15.75">
      <c r="A227" s="1">
        <v>220</v>
      </c>
      <c r="B227" s="1" t="s">
        <v>206</v>
      </c>
      <c r="C227" s="1">
        <v>4428.1</v>
      </c>
      <c r="D227" s="1">
        <v>208.7</v>
      </c>
      <c r="E227" s="1">
        <f t="shared" si="78"/>
        <v>4636.8</v>
      </c>
      <c r="F227" s="2">
        <v>15.22</v>
      </c>
      <c r="G227" s="2">
        <f t="shared" si="92"/>
        <v>70572.096</v>
      </c>
      <c r="H227" s="2">
        <f t="shared" si="71"/>
        <v>423432.576</v>
      </c>
      <c r="I227" s="2">
        <f t="shared" si="79"/>
        <v>15.22</v>
      </c>
      <c r="J227" s="2">
        <f t="shared" si="80"/>
        <v>70572.096</v>
      </c>
      <c r="K227" s="2">
        <f t="shared" si="72"/>
        <v>423432.576</v>
      </c>
      <c r="L227" s="97">
        <f t="shared" si="77"/>
        <v>846865.152</v>
      </c>
      <c r="M227" s="109">
        <v>3.92</v>
      </c>
      <c r="N227" s="89">
        <f t="shared" si="81"/>
        <v>218115.07200000001</v>
      </c>
      <c r="O227" s="64">
        <v>1.46</v>
      </c>
      <c r="P227" s="90">
        <f t="shared" si="82"/>
        <v>81236.736</v>
      </c>
      <c r="Q227" s="64"/>
      <c r="R227" s="90">
        <f t="shared" si="83"/>
        <v>0</v>
      </c>
      <c r="S227" s="64"/>
      <c r="T227" s="91">
        <f t="shared" si="84"/>
        <v>0</v>
      </c>
      <c r="U227" s="64">
        <v>0.32</v>
      </c>
      <c r="V227" s="90">
        <f t="shared" si="85"/>
        <v>17805.312</v>
      </c>
      <c r="W227" s="96"/>
      <c r="X227" s="91">
        <f t="shared" si="86"/>
        <v>0</v>
      </c>
      <c r="Y227" s="110">
        <f t="shared" si="89"/>
        <v>317157.12</v>
      </c>
      <c r="Z227" s="32"/>
      <c r="AA227" s="12">
        <f t="shared" si="87"/>
        <v>0</v>
      </c>
      <c r="AB227" s="25">
        <f t="shared" si="88"/>
        <v>846865.152</v>
      </c>
      <c r="AC227" s="166"/>
      <c r="AD227" s="8">
        <f t="shared" si="73"/>
        <v>846865.152</v>
      </c>
      <c r="AE227" s="167">
        <v>304871.8080000001</v>
      </c>
      <c r="AF227" s="168">
        <v>40860.974576653396</v>
      </c>
      <c r="AG227" s="168">
        <v>29711.121423346605</v>
      </c>
      <c r="AH227" s="168">
        <v>490331.6949198407</v>
      </c>
      <c r="AI227" s="168">
        <v>356533.4570801593</v>
      </c>
      <c r="AJ227" s="59"/>
      <c r="AK227" s="59"/>
      <c r="AL227" s="45">
        <v>46564.26</v>
      </c>
      <c r="AM227" s="45">
        <v>13568.46</v>
      </c>
      <c r="AN227" s="2">
        <v>19841.76</v>
      </c>
      <c r="AO227" s="2">
        <v>21411.65</v>
      </c>
      <c r="AP227" s="1">
        <v>13544.17</v>
      </c>
      <c r="AQ227" s="1">
        <v>14202.18</v>
      </c>
      <c r="AR227" s="24">
        <v>19098.3</v>
      </c>
      <c r="AS227" s="24">
        <v>55075.23</v>
      </c>
      <c r="AT227" s="1">
        <v>21274.29</v>
      </c>
      <c r="AU227" s="1">
        <v>21431.34</v>
      </c>
      <c r="AV227" s="24">
        <v>33436.63</v>
      </c>
      <c r="AW227" s="24">
        <v>28347.79</v>
      </c>
      <c r="AX227" s="45">
        <v>22300.13</v>
      </c>
      <c r="AY227" s="45">
        <v>26203.17</v>
      </c>
      <c r="AZ227" s="24">
        <v>55855.8</v>
      </c>
      <c r="BA227" s="24">
        <v>42149.93</v>
      </c>
      <c r="BB227" s="24">
        <v>28482.56</v>
      </c>
      <c r="BC227" s="24">
        <v>20526.6</v>
      </c>
      <c r="BD227" s="24">
        <v>16682.07</v>
      </c>
      <c r="BE227" s="24">
        <v>13118.46</v>
      </c>
      <c r="BF227" s="24">
        <v>15090.15</v>
      </c>
      <c r="BG227" s="24">
        <v>18684.5</v>
      </c>
      <c r="BH227" s="24">
        <v>18155.95</v>
      </c>
      <c r="BI227" s="24">
        <v>13118.46</v>
      </c>
      <c r="BJ227" s="9">
        <f t="shared" si="74"/>
        <v>310326.07000000007</v>
      </c>
      <c r="BK227" s="9">
        <f t="shared" si="75"/>
        <v>287837.77</v>
      </c>
      <c r="BL227" s="153">
        <f t="shared" si="76"/>
        <v>598163.8400000001</v>
      </c>
      <c r="BM227" s="154"/>
      <c r="BN227" s="154">
        <f>(878067.79-582041.09)+73224.34</f>
        <v>369251.04000000004</v>
      </c>
      <c r="BO227" s="154"/>
      <c r="BP227" s="154"/>
      <c r="BQ227" s="154"/>
      <c r="BR227" s="155">
        <f t="shared" si="91"/>
        <v>967414.8800000001</v>
      </c>
      <c r="BS227" s="198">
        <v>3384.43</v>
      </c>
      <c r="BT227" s="199">
        <v>4128</v>
      </c>
      <c r="BU227" s="20">
        <f t="shared" si="90"/>
        <v>-117165.29800000013</v>
      </c>
      <c r="BV227" s="231">
        <v>712539.74</v>
      </c>
      <c r="BW227" s="229"/>
      <c r="BX227" s="230"/>
    </row>
    <row r="228" spans="1:76" ht="15.75">
      <c r="A228" s="1">
        <v>221</v>
      </c>
      <c r="B228" s="1" t="s">
        <v>207</v>
      </c>
      <c r="C228" s="1">
        <v>4389.7</v>
      </c>
      <c r="D228" s="1">
        <v>52.1</v>
      </c>
      <c r="E228" s="1">
        <f t="shared" si="78"/>
        <v>4441.8</v>
      </c>
      <c r="F228" s="2">
        <v>15.22</v>
      </c>
      <c r="G228" s="2">
        <f t="shared" si="92"/>
        <v>67604.19600000001</v>
      </c>
      <c r="H228" s="2">
        <f t="shared" si="71"/>
        <v>405625.1760000001</v>
      </c>
      <c r="I228" s="2">
        <f t="shared" si="79"/>
        <v>15.22</v>
      </c>
      <c r="J228" s="2">
        <f t="shared" si="80"/>
        <v>67604.19600000001</v>
      </c>
      <c r="K228" s="2">
        <f t="shared" si="72"/>
        <v>405625.1760000001</v>
      </c>
      <c r="L228" s="97">
        <f t="shared" si="77"/>
        <v>811250.3520000002</v>
      </c>
      <c r="M228" s="109">
        <v>3.92</v>
      </c>
      <c r="N228" s="89">
        <f t="shared" si="81"/>
        <v>208942.272</v>
      </c>
      <c r="O228" s="64">
        <v>1.46</v>
      </c>
      <c r="P228" s="90">
        <f t="shared" si="82"/>
        <v>77820.33600000001</v>
      </c>
      <c r="Q228" s="64"/>
      <c r="R228" s="90">
        <f t="shared" si="83"/>
        <v>0</v>
      </c>
      <c r="S228" s="64"/>
      <c r="T228" s="91">
        <f t="shared" si="84"/>
        <v>0</v>
      </c>
      <c r="U228" s="64">
        <v>0.34</v>
      </c>
      <c r="V228" s="90">
        <f t="shared" si="85"/>
        <v>18122.544</v>
      </c>
      <c r="W228" s="96"/>
      <c r="X228" s="91">
        <f t="shared" si="86"/>
        <v>0</v>
      </c>
      <c r="Y228" s="110">
        <f t="shared" si="89"/>
        <v>304885.152</v>
      </c>
      <c r="Z228" s="32"/>
      <c r="AA228" s="12">
        <f t="shared" si="87"/>
        <v>0</v>
      </c>
      <c r="AB228" s="25">
        <f t="shared" si="88"/>
        <v>811250.3520000002</v>
      </c>
      <c r="AC228" s="44"/>
      <c r="AD228" s="8">
        <f t="shared" si="73"/>
        <v>811250.3520000002</v>
      </c>
      <c r="AE228" s="167">
        <v>292282.60800000007</v>
      </c>
      <c r="AF228" s="168">
        <v>0</v>
      </c>
      <c r="AG228" s="168">
        <v>67604.19600000001</v>
      </c>
      <c r="AH228" s="168">
        <v>0</v>
      </c>
      <c r="AI228" s="168">
        <v>811250.3520000002</v>
      </c>
      <c r="AJ228" s="59"/>
      <c r="AK228" s="59"/>
      <c r="AL228" s="45">
        <v>0</v>
      </c>
      <c r="AM228" s="45">
        <v>22268.98</v>
      </c>
      <c r="AN228" s="2">
        <v>0</v>
      </c>
      <c r="AO228" s="2">
        <v>27446.21</v>
      </c>
      <c r="AP228" s="1">
        <v>0</v>
      </c>
      <c r="AQ228" s="1">
        <v>44235.62</v>
      </c>
      <c r="AR228" s="24">
        <v>0</v>
      </c>
      <c r="AS228" s="24">
        <v>22523.62</v>
      </c>
      <c r="AT228" s="1">
        <v>0</v>
      </c>
      <c r="AU228" s="1">
        <v>71500.69</v>
      </c>
      <c r="AV228" s="24">
        <v>0</v>
      </c>
      <c r="AW228" s="24">
        <v>63825.9</v>
      </c>
      <c r="AX228" s="45">
        <v>0</v>
      </c>
      <c r="AY228" s="45">
        <v>49132.53</v>
      </c>
      <c r="AZ228" s="24">
        <v>0</v>
      </c>
      <c r="BA228" s="24">
        <v>53313.9</v>
      </c>
      <c r="BB228" s="24">
        <v>0</v>
      </c>
      <c r="BC228" s="24">
        <v>52118.13</v>
      </c>
      <c r="BD228" s="24">
        <v>0</v>
      </c>
      <c r="BE228" s="24">
        <v>34175.51</v>
      </c>
      <c r="BF228" s="24">
        <v>0</v>
      </c>
      <c r="BG228" s="24">
        <v>25067.14</v>
      </c>
      <c r="BH228" s="24">
        <v>0</v>
      </c>
      <c r="BI228" s="24">
        <v>47039.92</v>
      </c>
      <c r="BJ228" s="9">
        <f t="shared" si="74"/>
        <v>0</v>
      </c>
      <c r="BK228" s="9">
        <f t="shared" si="75"/>
        <v>512648.15</v>
      </c>
      <c r="BL228" s="153">
        <f t="shared" si="76"/>
        <v>512648.15</v>
      </c>
      <c r="BM228" s="154"/>
      <c r="BN228" s="154">
        <f>(243000-153058.78)+17401.8</f>
        <v>107343.02</v>
      </c>
      <c r="BO228" s="154"/>
      <c r="BP228" s="154"/>
      <c r="BQ228" s="154"/>
      <c r="BR228" s="155">
        <f t="shared" si="91"/>
        <v>619991.17</v>
      </c>
      <c r="BS228" s="198">
        <v>3242.37</v>
      </c>
      <c r="BT228" s="199">
        <v>4128</v>
      </c>
      <c r="BU228" s="20">
        <f t="shared" si="90"/>
        <v>194501.55200000014</v>
      </c>
      <c r="BV228" s="231">
        <v>181168.97</v>
      </c>
      <c r="BW228" s="229"/>
      <c r="BX228" s="230"/>
    </row>
    <row r="229" spans="1:76" ht="15.75">
      <c r="A229" s="1">
        <v>222</v>
      </c>
      <c r="B229" s="1" t="s">
        <v>208</v>
      </c>
      <c r="C229" s="27">
        <v>4475.1</v>
      </c>
      <c r="D229" s="1">
        <v>95.8</v>
      </c>
      <c r="E229" s="1">
        <f t="shared" si="78"/>
        <v>4570.900000000001</v>
      </c>
      <c r="F229" s="2">
        <v>15.18</v>
      </c>
      <c r="G229" s="2">
        <f t="shared" si="92"/>
        <v>69386.262</v>
      </c>
      <c r="H229" s="2">
        <f t="shared" si="71"/>
        <v>416317.57200000004</v>
      </c>
      <c r="I229" s="2">
        <v>15.18</v>
      </c>
      <c r="J229" s="66">
        <f t="shared" si="80"/>
        <v>69386.262</v>
      </c>
      <c r="K229" s="2">
        <f>J229*4+G229*2</f>
        <v>416317.57200000004</v>
      </c>
      <c r="L229" s="97">
        <f t="shared" si="77"/>
        <v>832635.1440000001</v>
      </c>
      <c r="M229" s="109">
        <v>3.92</v>
      </c>
      <c r="N229" s="89">
        <f t="shared" si="81"/>
        <v>215015.13600000006</v>
      </c>
      <c r="O229" s="64">
        <v>1.46</v>
      </c>
      <c r="P229" s="90">
        <f t="shared" si="82"/>
        <v>80082.168</v>
      </c>
      <c r="Q229" s="64"/>
      <c r="R229" s="90">
        <f t="shared" si="83"/>
        <v>0</v>
      </c>
      <c r="S229" s="64"/>
      <c r="T229" s="91">
        <f t="shared" si="84"/>
        <v>0</v>
      </c>
      <c r="U229" s="64">
        <v>0.33</v>
      </c>
      <c r="V229" s="90">
        <f t="shared" si="85"/>
        <v>18100.764000000003</v>
      </c>
      <c r="W229" s="96"/>
      <c r="X229" s="91">
        <f t="shared" si="86"/>
        <v>0</v>
      </c>
      <c r="Y229" s="110">
        <f t="shared" si="89"/>
        <v>313198.0680000001</v>
      </c>
      <c r="Z229" s="32">
        <v>-539099.47</v>
      </c>
      <c r="AA229" s="12">
        <f t="shared" si="87"/>
        <v>-0.6474618251280538</v>
      </c>
      <c r="AB229" s="25">
        <f t="shared" si="88"/>
        <v>293535.6740000001</v>
      </c>
      <c r="AC229" s="44"/>
      <c r="AD229" s="8">
        <f t="shared" si="73"/>
        <v>293535.6740000001</v>
      </c>
      <c r="AE229" s="167">
        <v>300591.48</v>
      </c>
      <c r="AF229" s="168">
        <v>0</v>
      </c>
      <c r="AG229" s="168">
        <v>24461.306166666676</v>
      </c>
      <c r="AH229" s="168">
        <v>0</v>
      </c>
      <c r="AI229" s="168">
        <v>293535.6740000001</v>
      </c>
      <c r="AJ229" s="59"/>
      <c r="AK229" s="26" t="s">
        <v>352</v>
      </c>
      <c r="AL229" s="45">
        <v>0</v>
      </c>
      <c r="AM229" s="45">
        <v>92495.66</v>
      </c>
      <c r="AN229" s="2">
        <v>0</v>
      </c>
      <c r="AO229" s="2">
        <v>23619.54</v>
      </c>
      <c r="AP229" s="1">
        <v>0</v>
      </c>
      <c r="AQ229" s="1">
        <v>105080.7</v>
      </c>
      <c r="AR229" s="24">
        <v>0</v>
      </c>
      <c r="AS229" s="24">
        <v>97324.38</v>
      </c>
      <c r="AT229" s="1">
        <v>0</v>
      </c>
      <c r="AU229" s="1">
        <v>41318.38</v>
      </c>
      <c r="AV229" s="24">
        <v>0</v>
      </c>
      <c r="AW229" s="24">
        <v>56973.38</v>
      </c>
      <c r="AX229" s="45">
        <v>0</v>
      </c>
      <c r="AY229" s="45">
        <v>33420.35</v>
      </c>
      <c r="AZ229" s="24">
        <v>0</v>
      </c>
      <c r="BA229" s="24">
        <v>43135.15</v>
      </c>
      <c r="BB229" s="24">
        <v>0</v>
      </c>
      <c r="BC229" s="24">
        <v>53450.89</v>
      </c>
      <c r="BD229" s="24">
        <v>0</v>
      </c>
      <c r="BE229" s="24">
        <v>67539.22</v>
      </c>
      <c r="BF229" s="24">
        <v>0</v>
      </c>
      <c r="BG229" s="24">
        <v>25667.12</v>
      </c>
      <c r="BH229" s="24">
        <v>0</v>
      </c>
      <c r="BI229" s="24">
        <v>89886.94</v>
      </c>
      <c r="BJ229" s="9">
        <f t="shared" si="74"/>
        <v>0</v>
      </c>
      <c r="BK229" s="9">
        <f t="shared" si="75"/>
        <v>729911.71</v>
      </c>
      <c r="BL229" s="153">
        <f t="shared" si="76"/>
        <v>729911.71</v>
      </c>
      <c r="BM229" s="154"/>
      <c r="BN229" s="154">
        <v>18289.2</v>
      </c>
      <c r="BO229" s="154"/>
      <c r="BP229" s="154"/>
      <c r="BQ229" s="154"/>
      <c r="BR229" s="155">
        <f t="shared" si="91"/>
        <v>748200.9099999999</v>
      </c>
      <c r="BS229" s="198">
        <v>3335.15</v>
      </c>
      <c r="BT229" s="199"/>
      <c r="BU229" s="20">
        <f t="shared" si="90"/>
        <v>-451330.0859999998</v>
      </c>
      <c r="BV229" s="231">
        <v>1154675.86</v>
      </c>
      <c r="BW229" s="229"/>
      <c r="BX229" s="230"/>
    </row>
    <row r="230" spans="1:76" ht="15.75">
      <c r="A230" s="1">
        <v>223</v>
      </c>
      <c r="B230" s="1" t="s">
        <v>209</v>
      </c>
      <c r="C230" s="1">
        <v>3186.8</v>
      </c>
      <c r="D230" s="1">
        <v>0</v>
      </c>
      <c r="E230" s="1">
        <f t="shared" si="78"/>
        <v>3186.8</v>
      </c>
      <c r="F230" s="2">
        <v>15.18</v>
      </c>
      <c r="G230" s="2">
        <f t="shared" si="92"/>
        <v>48375.624</v>
      </c>
      <c r="H230" s="2">
        <f aca="true" t="shared" si="93" ref="H230:H282">G230*6</f>
        <v>290253.744</v>
      </c>
      <c r="I230" s="2">
        <f t="shared" si="79"/>
        <v>15.18</v>
      </c>
      <c r="J230" s="2">
        <f t="shared" si="80"/>
        <v>48375.624</v>
      </c>
      <c r="K230" s="2">
        <f aca="true" t="shared" si="94" ref="K230:K282">J230*6</f>
        <v>290253.744</v>
      </c>
      <c r="L230" s="97">
        <f t="shared" si="77"/>
        <v>580507.488</v>
      </c>
      <c r="M230" s="109">
        <v>3.92</v>
      </c>
      <c r="N230" s="89">
        <f t="shared" si="81"/>
        <v>149907.07200000001</v>
      </c>
      <c r="O230" s="64">
        <v>1.46</v>
      </c>
      <c r="P230" s="90">
        <f t="shared" si="82"/>
        <v>55832.736000000004</v>
      </c>
      <c r="Q230" s="64"/>
      <c r="R230" s="90">
        <f t="shared" si="83"/>
        <v>0</v>
      </c>
      <c r="S230" s="64"/>
      <c r="T230" s="91">
        <f t="shared" si="84"/>
        <v>0</v>
      </c>
      <c r="U230" s="64">
        <v>0.47</v>
      </c>
      <c r="V230" s="90">
        <f t="shared" si="85"/>
        <v>17973.552</v>
      </c>
      <c r="W230" s="96"/>
      <c r="X230" s="91">
        <f t="shared" si="86"/>
        <v>0</v>
      </c>
      <c r="Y230" s="110">
        <f t="shared" si="89"/>
        <v>223713.36000000002</v>
      </c>
      <c r="Z230" s="32"/>
      <c r="AA230" s="12">
        <f t="shared" si="87"/>
        <v>0</v>
      </c>
      <c r="AB230" s="25">
        <f t="shared" si="88"/>
        <v>580507.488</v>
      </c>
      <c r="AC230" s="44"/>
      <c r="AD230" s="8">
        <f aca="true" t="shared" si="95" ref="AD230:AD282">AB230-AC230</f>
        <v>580507.488</v>
      </c>
      <c r="AE230" s="167">
        <v>208499.80800000005</v>
      </c>
      <c r="AF230" s="168">
        <v>27897.686761524998</v>
      </c>
      <c r="AG230" s="168">
        <v>20477.937238475006</v>
      </c>
      <c r="AH230" s="168">
        <v>334772.2411383</v>
      </c>
      <c r="AI230" s="168">
        <v>245735.24686170006</v>
      </c>
      <c r="AJ230" s="59"/>
      <c r="AK230" s="59"/>
      <c r="AL230" s="45">
        <v>44508.42</v>
      </c>
      <c r="AM230" s="45">
        <v>11469.75</v>
      </c>
      <c r="AN230" s="2">
        <v>7687.34</v>
      </c>
      <c r="AO230" s="2">
        <v>10263.15</v>
      </c>
      <c r="AP230" s="1">
        <v>6214.26</v>
      </c>
      <c r="AQ230" s="1">
        <v>8929.96</v>
      </c>
      <c r="AR230" s="24">
        <v>25551.28</v>
      </c>
      <c r="AS230" s="24">
        <v>12358.39</v>
      </c>
      <c r="AT230" s="1">
        <v>38010.38</v>
      </c>
      <c r="AU230" s="1">
        <v>20569.95</v>
      </c>
      <c r="AV230" s="24">
        <v>17362.42</v>
      </c>
      <c r="AW230" s="24">
        <v>23171.21</v>
      </c>
      <c r="AX230" s="45">
        <v>32142.33</v>
      </c>
      <c r="AY230" s="45">
        <v>8929.96</v>
      </c>
      <c r="AZ230" s="24">
        <v>13225.22</v>
      </c>
      <c r="BA230" s="24">
        <v>16149.14</v>
      </c>
      <c r="BB230" s="24">
        <v>36352.26</v>
      </c>
      <c r="BC230" s="24">
        <v>16627.25</v>
      </c>
      <c r="BD230" s="24">
        <v>7028.83</v>
      </c>
      <c r="BE230" s="24">
        <v>18449.2</v>
      </c>
      <c r="BF230" s="24">
        <v>12247.69</v>
      </c>
      <c r="BG230" s="24">
        <v>12961.38</v>
      </c>
      <c r="BH230" s="24">
        <v>15229.42</v>
      </c>
      <c r="BI230" s="24">
        <v>30597.89</v>
      </c>
      <c r="BJ230" s="9">
        <f aca="true" t="shared" si="96" ref="BJ230:BJ281">AL230+AN230+AP230+AR230+AT230+AV230+AX230+AZ230+BB230+BD230+BF230+BH230</f>
        <v>255559.85</v>
      </c>
      <c r="BK230" s="9">
        <f aca="true" t="shared" si="97" ref="BK230:BK281">AM230+AO230+AQ230+AS230+AU230+AW230+AY230+BA230+BC230+BE230+BG230+BI230</f>
        <v>190477.22999999998</v>
      </c>
      <c r="BL230" s="153">
        <f aca="true" t="shared" si="98" ref="BL230:BL281">BJ230+BK230</f>
        <v>446037.07999999996</v>
      </c>
      <c r="BM230" s="154"/>
      <c r="BN230" s="154">
        <f>(180000-145430.41)</f>
        <v>34569.59</v>
      </c>
      <c r="BO230" s="154"/>
      <c r="BP230" s="154"/>
      <c r="BQ230" s="154"/>
      <c r="BR230" s="155">
        <f t="shared" si="91"/>
        <v>480606.6699999999</v>
      </c>
      <c r="BS230" s="198">
        <v>2325.05</v>
      </c>
      <c r="BT230" s="199"/>
      <c r="BU230" s="20">
        <f t="shared" si="90"/>
        <v>102225.86800000009</v>
      </c>
      <c r="BV230" s="231">
        <v>145837.16</v>
      </c>
      <c r="BW230" s="229"/>
      <c r="BX230" s="230"/>
    </row>
    <row r="231" spans="1:111" s="17" customFormat="1" ht="15.75">
      <c r="A231" s="1">
        <v>224</v>
      </c>
      <c r="B231" s="1" t="s">
        <v>210</v>
      </c>
      <c r="C231" s="1">
        <v>280.3</v>
      </c>
      <c r="D231" s="1">
        <v>0</v>
      </c>
      <c r="E231" s="1">
        <f t="shared" si="78"/>
        <v>280.3</v>
      </c>
      <c r="F231" s="2">
        <v>13.23</v>
      </c>
      <c r="G231" s="2">
        <f t="shared" si="92"/>
        <v>3708.369</v>
      </c>
      <c r="H231" s="2">
        <f t="shared" si="93"/>
        <v>22250.214</v>
      </c>
      <c r="I231" s="2">
        <f t="shared" si="79"/>
        <v>13.23</v>
      </c>
      <c r="J231" s="2">
        <f t="shared" si="80"/>
        <v>3708.369</v>
      </c>
      <c r="K231" s="2">
        <f t="shared" si="94"/>
        <v>22250.214</v>
      </c>
      <c r="L231" s="97">
        <f aca="true" t="shared" si="99" ref="L231:L283">H231+K231</f>
        <v>44500.428</v>
      </c>
      <c r="M231" s="109">
        <v>3.92</v>
      </c>
      <c r="N231" s="89">
        <f t="shared" si="81"/>
        <v>13185.312000000002</v>
      </c>
      <c r="O231" s="64">
        <v>1.46</v>
      </c>
      <c r="P231" s="90">
        <f t="shared" si="82"/>
        <v>4910.856</v>
      </c>
      <c r="Q231" s="64">
        <v>0.52</v>
      </c>
      <c r="R231" s="90">
        <f t="shared" si="83"/>
        <v>1749.0720000000001</v>
      </c>
      <c r="S231" s="64">
        <v>0.89</v>
      </c>
      <c r="T231" s="91">
        <f t="shared" si="84"/>
        <v>2993.6040000000003</v>
      </c>
      <c r="U231" s="64">
        <v>0</v>
      </c>
      <c r="V231" s="90">
        <f t="shared" si="85"/>
        <v>0</v>
      </c>
      <c r="W231" s="96"/>
      <c r="X231" s="91">
        <f t="shared" si="86"/>
        <v>0</v>
      </c>
      <c r="Y231" s="110">
        <f t="shared" si="89"/>
        <v>22838.844</v>
      </c>
      <c r="Z231" s="32">
        <v>-61712.94</v>
      </c>
      <c r="AA231" s="12">
        <f t="shared" si="87"/>
        <v>-1.3867943022930027</v>
      </c>
      <c r="AB231" s="25">
        <f t="shared" si="88"/>
        <v>-17212.512000000002</v>
      </c>
      <c r="AC231" s="44"/>
      <c r="AD231" s="8">
        <f t="shared" si="95"/>
        <v>-17212.512000000002</v>
      </c>
      <c r="AE231" s="167">
        <v>14668.992000000002</v>
      </c>
      <c r="AF231" s="168">
        <v>-176.32890856112863</v>
      </c>
      <c r="AG231" s="168">
        <v>1398.7449085611286</v>
      </c>
      <c r="AH231" s="168">
        <v>-2115.9469027335435</v>
      </c>
      <c r="AI231" s="168">
        <v>16784.938902733542</v>
      </c>
      <c r="AJ231" s="59" t="s">
        <v>296</v>
      </c>
      <c r="AK231" s="26" t="s">
        <v>352</v>
      </c>
      <c r="AL231" s="45">
        <v>0</v>
      </c>
      <c r="AM231" s="45">
        <v>1225.22</v>
      </c>
      <c r="AN231" s="2">
        <v>0</v>
      </c>
      <c r="AO231" s="2">
        <v>1225.22</v>
      </c>
      <c r="AP231" s="1">
        <v>3705.73</v>
      </c>
      <c r="AQ231" s="1">
        <v>1225.22</v>
      </c>
      <c r="AR231" s="24">
        <v>0</v>
      </c>
      <c r="AS231" s="24">
        <v>1923.72</v>
      </c>
      <c r="AT231" s="1">
        <v>0</v>
      </c>
      <c r="AU231" s="1">
        <v>1225.22</v>
      </c>
      <c r="AV231" s="24">
        <v>0</v>
      </c>
      <c r="AW231" s="24">
        <v>1225.22</v>
      </c>
      <c r="AX231" s="45">
        <v>1141.5</v>
      </c>
      <c r="AY231" s="45">
        <v>1225.22</v>
      </c>
      <c r="AZ231" s="24">
        <v>0</v>
      </c>
      <c r="BA231" s="24">
        <v>1225.22</v>
      </c>
      <c r="BB231" s="24">
        <v>0</v>
      </c>
      <c r="BC231" s="24">
        <v>1225.22</v>
      </c>
      <c r="BD231" s="24">
        <v>0</v>
      </c>
      <c r="BE231" s="24">
        <v>1225.22</v>
      </c>
      <c r="BF231" s="24">
        <v>13801.26</v>
      </c>
      <c r="BG231" s="24">
        <v>2733.22</v>
      </c>
      <c r="BH231" s="24">
        <v>0</v>
      </c>
      <c r="BI231" s="24">
        <v>1225.22</v>
      </c>
      <c r="BJ231" s="9">
        <f t="shared" si="96"/>
        <v>18648.489999999998</v>
      </c>
      <c r="BK231" s="9">
        <f t="shared" si="97"/>
        <v>16909.14</v>
      </c>
      <c r="BL231" s="153">
        <f t="shared" si="98"/>
        <v>35557.63</v>
      </c>
      <c r="BM231" s="154"/>
      <c r="BN231" s="154">
        <v>3437</v>
      </c>
      <c r="BO231" s="154">
        <v>218.07</v>
      </c>
      <c r="BP231" s="154"/>
      <c r="BQ231" s="154"/>
      <c r="BR231" s="155">
        <f t="shared" si="91"/>
        <v>39212.7</v>
      </c>
      <c r="BS231" s="154">
        <f>807.26+818.48</f>
        <v>1625.74</v>
      </c>
      <c r="BT231" s="199"/>
      <c r="BU231" s="20">
        <f t="shared" si="90"/>
        <v>-54799.472</v>
      </c>
      <c r="BV231" s="231">
        <v>6255.6</v>
      </c>
      <c r="BW231" s="229"/>
      <c r="BX231" s="230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</row>
    <row r="232" spans="1:76" ht="15.75">
      <c r="A232" s="1">
        <v>225</v>
      </c>
      <c r="B232" s="1" t="s">
        <v>211</v>
      </c>
      <c r="C232" s="1">
        <v>4863.66</v>
      </c>
      <c r="D232" s="1">
        <v>0</v>
      </c>
      <c r="E232" s="1">
        <f t="shared" si="78"/>
        <v>4863.66</v>
      </c>
      <c r="F232" s="2">
        <v>15.87</v>
      </c>
      <c r="G232" s="2">
        <f t="shared" si="92"/>
        <v>77186.2842</v>
      </c>
      <c r="H232" s="2">
        <f t="shared" si="93"/>
        <v>463117.70519999997</v>
      </c>
      <c r="I232" s="2">
        <f t="shared" si="79"/>
        <v>15.87</v>
      </c>
      <c r="J232" s="2">
        <f t="shared" si="80"/>
        <v>77186.2842</v>
      </c>
      <c r="K232" s="2">
        <f t="shared" si="94"/>
        <v>463117.70519999997</v>
      </c>
      <c r="L232" s="97">
        <f t="shared" si="99"/>
        <v>926235.4103999999</v>
      </c>
      <c r="M232" s="109">
        <v>3.92</v>
      </c>
      <c r="N232" s="89">
        <f t="shared" si="81"/>
        <v>228786.5664</v>
      </c>
      <c r="O232" s="64">
        <v>1.46</v>
      </c>
      <c r="P232" s="90">
        <f t="shared" si="82"/>
        <v>85211.3232</v>
      </c>
      <c r="Q232" s="64"/>
      <c r="R232" s="90">
        <f t="shared" si="83"/>
        <v>0</v>
      </c>
      <c r="S232" s="64"/>
      <c r="T232" s="91">
        <f t="shared" si="84"/>
        <v>0</v>
      </c>
      <c r="U232" s="64">
        <v>0.38</v>
      </c>
      <c r="V232" s="90">
        <f t="shared" si="85"/>
        <v>22178.289599999996</v>
      </c>
      <c r="W232" s="96"/>
      <c r="X232" s="91">
        <f t="shared" si="86"/>
        <v>0</v>
      </c>
      <c r="Y232" s="110">
        <f t="shared" si="89"/>
        <v>336176.1792</v>
      </c>
      <c r="Z232" s="32"/>
      <c r="AA232" s="12">
        <f t="shared" si="87"/>
        <v>0</v>
      </c>
      <c r="AB232" s="25">
        <f t="shared" si="88"/>
        <v>926235.4103999999</v>
      </c>
      <c r="AC232" s="44"/>
      <c r="AD232" s="8">
        <f t="shared" si="95"/>
        <v>926235.4103999999</v>
      </c>
      <c r="AE232" s="167">
        <v>319517.8896</v>
      </c>
      <c r="AF232" s="168">
        <v>44302.35186838991</v>
      </c>
      <c r="AG232" s="168">
        <v>32883.932331610085</v>
      </c>
      <c r="AH232" s="168">
        <v>531628.2224206789</v>
      </c>
      <c r="AI232" s="168">
        <v>394607.187979321</v>
      </c>
      <c r="AJ232" s="59"/>
      <c r="AK232" s="59"/>
      <c r="AL232" s="45">
        <v>10954.42</v>
      </c>
      <c r="AM232" s="45">
        <v>14147.9</v>
      </c>
      <c r="AN232" s="2">
        <v>48487.04</v>
      </c>
      <c r="AO232" s="2">
        <v>14147.79</v>
      </c>
      <c r="AP232" s="1">
        <v>11469.88</v>
      </c>
      <c r="AQ232" s="1">
        <v>17247.1</v>
      </c>
      <c r="AR232" s="24">
        <v>17990.74</v>
      </c>
      <c r="AS232" s="24">
        <v>32729.18</v>
      </c>
      <c r="AT232" s="1">
        <v>47966.96</v>
      </c>
      <c r="AU232" s="1">
        <v>15170.52</v>
      </c>
      <c r="AV232" s="24">
        <v>80255.65</v>
      </c>
      <c r="AW232" s="24">
        <v>17947.92</v>
      </c>
      <c r="AX232" s="45">
        <v>29389.27</v>
      </c>
      <c r="AY232" s="45">
        <v>25705.51</v>
      </c>
      <c r="AZ232" s="24">
        <v>31075.77</v>
      </c>
      <c r="BA232" s="24">
        <v>16310.28</v>
      </c>
      <c r="BB232" s="24">
        <v>27473.13</v>
      </c>
      <c r="BC232" s="24">
        <v>31203.98</v>
      </c>
      <c r="BD232" s="24">
        <v>42496.98</v>
      </c>
      <c r="BE232" s="24">
        <v>68667.24</v>
      </c>
      <c r="BF232" s="24">
        <v>113639.05</v>
      </c>
      <c r="BG232" s="24">
        <v>114287.22</v>
      </c>
      <c r="BH232" s="24">
        <v>20274.76</v>
      </c>
      <c r="BI232" s="24">
        <v>15890.93</v>
      </c>
      <c r="BJ232" s="9">
        <f t="shared" si="96"/>
        <v>481473.64999999997</v>
      </c>
      <c r="BK232" s="9">
        <f t="shared" si="97"/>
        <v>383455.57</v>
      </c>
      <c r="BL232" s="153">
        <f t="shared" si="98"/>
        <v>864929.22</v>
      </c>
      <c r="BM232" s="154">
        <v>599</v>
      </c>
      <c r="BN232" s="154">
        <f>(107620.76-53328.59)+416765.68+36500</f>
        <v>507557.85</v>
      </c>
      <c r="BO232" s="154"/>
      <c r="BP232" s="154"/>
      <c r="BQ232" s="154"/>
      <c r="BR232" s="155">
        <f t="shared" si="91"/>
        <v>1373086.0699999998</v>
      </c>
      <c r="BS232" s="198"/>
      <c r="BT232" s="199"/>
      <c r="BU232" s="20">
        <f t="shared" si="90"/>
        <v>-446850.6595999999</v>
      </c>
      <c r="BV232" s="231">
        <v>1009494.43</v>
      </c>
      <c r="BW232" s="229"/>
      <c r="BX232" s="230"/>
    </row>
    <row r="233" spans="1:76" ht="15.75">
      <c r="A233" s="1">
        <v>226</v>
      </c>
      <c r="B233" s="1" t="s">
        <v>212</v>
      </c>
      <c r="C233" s="1">
        <v>465.2</v>
      </c>
      <c r="D233" s="1">
        <v>0</v>
      </c>
      <c r="E233" s="1">
        <f>C233+D233</f>
        <v>465.2</v>
      </c>
      <c r="F233" s="2">
        <v>9.71</v>
      </c>
      <c r="G233" s="2">
        <f t="shared" si="92"/>
        <v>4517.092000000001</v>
      </c>
      <c r="H233" s="2">
        <f t="shared" si="93"/>
        <v>27102.552000000003</v>
      </c>
      <c r="I233" s="2">
        <f t="shared" si="79"/>
        <v>9.71</v>
      </c>
      <c r="J233" s="2">
        <f t="shared" si="80"/>
        <v>4517.092000000001</v>
      </c>
      <c r="K233" s="2">
        <f t="shared" si="94"/>
        <v>27102.552000000003</v>
      </c>
      <c r="L233" s="97">
        <f t="shared" si="99"/>
        <v>54205.10400000001</v>
      </c>
      <c r="M233" s="109">
        <v>3.92</v>
      </c>
      <c r="N233" s="89">
        <f t="shared" si="81"/>
        <v>21883.007999999998</v>
      </c>
      <c r="O233" s="64"/>
      <c r="P233" s="90">
        <f t="shared" si="82"/>
        <v>0</v>
      </c>
      <c r="Q233" s="64"/>
      <c r="R233" s="90">
        <f t="shared" si="83"/>
        <v>0</v>
      </c>
      <c r="S233" s="64"/>
      <c r="T233" s="91">
        <f t="shared" si="84"/>
        <v>0</v>
      </c>
      <c r="U233" s="64">
        <v>0</v>
      </c>
      <c r="V233" s="90">
        <f t="shared" si="85"/>
        <v>0</v>
      </c>
      <c r="W233" s="96"/>
      <c r="X233" s="91">
        <f t="shared" si="86"/>
        <v>0</v>
      </c>
      <c r="Y233" s="110">
        <f t="shared" si="89"/>
        <v>21883.007999999998</v>
      </c>
      <c r="Z233" s="32"/>
      <c r="AA233" s="12">
        <f t="shared" si="87"/>
        <v>0</v>
      </c>
      <c r="AB233" s="25">
        <f t="shared" si="88"/>
        <v>54205.10400000001</v>
      </c>
      <c r="AC233" s="44"/>
      <c r="AD233" s="8">
        <f t="shared" si="95"/>
        <v>54205.10400000001</v>
      </c>
      <c r="AE233" s="167">
        <v>15190.655999999999</v>
      </c>
      <c r="AF233" s="168">
        <v>0</v>
      </c>
      <c r="AG233" s="168">
        <v>4517.092000000001</v>
      </c>
      <c r="AH233" s="168">
        <v>0</v>
      </c>
      <c r="AI233" s="168">
        <v>54205.10400000001</v>
      </c>
      <c r="AJ233" s="59" t="s">
        <v>299</v>
      </c>
      <c r="AK233" s="59"/>
      <c r="AL233" s="45">
        <v>0</v>
      </c>
      <c r="AM233" s="45">
        <v>1270</v>
      </c>
      <c r="AN233" s="2">
        <v>0</v>
      </c>
      <c r="AO233" s="2">
        <v>2603.19</v>
      </c>
      <c r="AP233" s="1">
        <v>0</v>
      </c>
      <c r="AQ233" s="1">
        <v>11850.72</v>
      </c>
      <c r="AR233" s="24">
        <v>0</v>
      </c>
      <c r="AS233" s="24">
        <v>3301.69</v>
      </c>
      <c r="AT233" s="1">
        <v>0</v>
      </c>
      <c r="AU233" s="1">
        <v>1270</v>
      </c>
      <c r="AV233" s="24">
        <v>0</v>
      </c>
      <c r="AW233" s="24">
        <v>1270</v>
      </c>
      <c r="AX233" s="45">
        <v>0</v>
      </c>
      <c r="AY233" s="45">
        <v>1270</v>
      </c>
      <c r="AZ233" s="24">
        <v>0</v>
      </c>
      <c r="BA233" s="24">
        <v>1270</v>
      </c>
      <c r="BB233" s="24">
        <v>0</v>
      </c>
      <c r="BC233" s="24">
        <v>1270</v>
      </c>
      <c r="BD233" s="24">
        <v>0</v>
      </c>
      <c r="BE233" s="24">
        <v>7903.47</v>
      </c>
      <c r="BF233" s="24">
        <v>0</v>
      </c>
      <c r="BG233" s="24">
        <v>5295.4</v>
      </c>
      <c r="BH233" s="24">
        <v>0</v>
      </c>
      <c r="BI233" s="24">
        <v>1460</v>
      </c>
      <c r="BJ233" s="9">
        <f t="shared" si="96"/>
        <v>0</v>
      </c>
      <c r="BK233" s="9">
        <f t="shared" si="97"/>
        <v>40034.47</v>
      </c>
      <c r="BL233" s="153">
        <f t="shared" si="98"/>
        <v>40034.47</v>
      </c>
      <c r="BM233" s="154"/>
      <c r="BN233" s="154"/>
      <c r="BO233" s="154"/>
      <c r="BP233" s="154"/>
      <c r="BQ233" s="154"/>
      <c r="BR233" s="155">
        <f t="shared" si="91"/>
        <v>40034.47</v>
      </c>
      <c r="BS233" s="198"/>
      <c r="BT233" s="199"/>
      <c r="BU233" s="20">
        <f t="shared" si="90"/>
        <v>14170.634000000005</v>
      </c>
      <c r="BV233" s="231">
        <v>18194</v>
      </c>
      <c r="BW233" s="229"/>
      <c r="BX233" s="230"/>
    </row>
    <row r="234" spans="1:76" ht="15.75">
      <c r="A234" s="1">
        <v>227</v>
      </c>
      <c r="B234" s="1" t="s">
        <v>213</v>
      </c>
      <c r="C234" s="1">
        <v>781.2</v>
      </c>
      <c r="D234" s="1">
        <v>0</v>
      </c>
      <c r="E234" s="1">
        <f>C234+D234</f>
        <v>781.2</v>
      </c>
      <c r="F234" s="2">
        <v>13.85</v>
      </c>
      <c r="G234" s="2">
        <f t="shared" si="92"/>
        <v>10819.62</v>
      </c>
      <c r="H234" s="2">
        <f t="shared" si="93"/>
        <v>64917.72</v>
      </c>
      <c r="I234" s="2">
        <f t="shared" si="79"/>
        <v>13.85</v>
      </c>
      <c r="J234" s="2">
        <f t="shared" si="80"/>
        <v>10819.62</v>
      </c>
      <c r="K234" s="2">
        <f t="shared" si="94"/>
        <v>64917.72</v>
      </c>
      <c r="L234" s="97">
        <f t="shared" si="99"/>
        <v>129835.44</v>
      </c>
      <c r="M234" s="109">
        <v>3.92</v>
      </c>
      <c r="N234" s="89">
        <f t="shared" si="81"/>
        <v>36747.648</v>
      </c>
      <c r="O234" s="64">
        <v>1.46</v>
      </c>
      <c r="P234" s="90">
        <f t="shared" si="82"/>
        <v>13686.624000000002</v>
      </c>
      <c r="Q234" s="64"/>
      <c r="R234" s="90">
        <f t="shared" si="83"/>
        <v>0</v>
      </c>
      <c r="S234" s="64"/>
      <c r="T234" s="91">
        <f t="shared" si="84"/>
        <v>0</v>
      </c>
      <c r="U234" s="64">
        <v>1.48</v>
      </c>
      <c r="V234" s="90">
        <f t="shared" si="85"/>
        <v>13874.112000000001</v>
      </c>
      <c r="W234" s="96"/>
      <c r="X234" s="91">
        <f t="shared" si="86"/>
        <v>0</v>
      </c>
      <c r="Y234" s="110">
        <f t="shared" si="89"/>
        <v>64308.384000000005</v>
      </c>
      <c r="Z234" s="32"/>
      <c r="AA234" s="12">
        <f t="shared" si="87"/>
        <v>0</v>
      </c>
      <c r="AB234" s="25">
        <f t="shared" si="88"/>
        <v>129835.44</v>
      </c>
      <c r="AC234" s="166"/>
      <c r="AD234" s="8">
        <f t="shared" si="95"/>
        <v>129835.44</v>
      </c>
      <c r="AE234" s="167">
        <v>50434.27200000001</v>
      </c>
      <c r="AF234" s="168">
        <v>0</v>
      </c>
      <c r="AG234" s="168">
        <v>10819.62</v>
      </c>
      <c r="AH234" s="168">
        <v>0</v>
      </c>
      <c r="AI234" s="168">
        <v>129835.44</v>
      </c>
      <c r="AJ234" s="26"/>
      <c r="AK234" s="26"/>
      <c r="AL234" s="45">
        <v>0</v>
      </c>
      <c r="AM234" s="45">
        <v>3538.84</v>
      </c>
      <c r="AN234" s="2">
        <v>0</v>
      </c>
      <c r="AO234" s="2">
        <v>4872.03</v>
      </c>
      <c r="AP234" s="1">
        <v>0</v>
      </c>
      <c r="AQ234" s="1">
        <v>9347.1</v>
      </c>
      <c r="AR234" s="24">
        <v>0</v>
      </c>
      <c r="AS234" s="24">
        <v>6148.03</v>
      </c>
      <c r="AT234" s="1">
        <v>0</v>
      </c>
      <c r="AU234" s="1">
        <v>4749.7</v>
      </c>
      <c r="AV234" s="24">
        <v>0</v>
      </c>
      <c r="AW234" s="24">
        <v>4749.7</v>
      </c>
      <c r="AX234" s="45">
        <v>0</v>
      </c>
      <c r="AY234" s="45">
        <v>18348.27</v>
      </c>
      <c r="AZ234" s="24">
        <v>0</v>
      </c>
      <c r="BA234" s="24">
        <v>4749.7</v>
      </c>
      <c r="BB234" s="24">
        <v>0</v>
      </c>
      <c r="BC234" s="24">
        <v>7568.02</v>
      </c>
      <c r="BD234" s="24">
        <v>0</v>
      </c>
      <c r="BE234" s="24">
        <v>6558.24</v>
      </c>
      <c r="BF234" s="24">
        <v>0</v>
      </c>
      <c r="BG234" s="24">
        <v>9725.84</v>
      </c>
      <c r="BH234" s="24">
        <v>0</v>
      </c>
      <c r="BI234" s="24">
        <v>8538.84</v>
      </c>
      <c r="BJ234" s="9">
        <f t="shared" si="96"/>
        <v>0</v>
      </c>
      <c r="BK234" s="9">
        <f t="shared" si="97"/>
        <v>88894.31</v>
      </c>
      <c r="BL234" s="153">
        <f t="shared" si="98"/>
        <v>88894.31</v>
      </c>
      <c r="BM234" s="154"/>
      <c r="BN234" s="154"/>
      <c r="BO234" s="154"/>
      <c r="BP234" s="154"/>
      <c r="BQ234" s="154"/>
      <c r="BR234" s="155">
        <f t="shared" si="91"/>
        <v>88894.31</v>
      </c>
      <c r="BS234" s="198">
        <v>2281.1</v>
      </c>
      <c r="BT234" s="199"/>
      <c r="BU234" s="20">
        <f t="shared" si="90"/>
        <v>43222.23</v>
      </c>
      <c r="BV234" s="231">
        <v>599591.95</v>
      </c>
      <c r="BW234" s="229"/>
      <c r="BX234" s="230"/>
    </row>
    <row r="235" spans="1:76" ht="15.75">
      <c r="A235" s="1">
        <v>228</v>
      </c>
      <c r="B235" s="1" t="s">
        <v>214</v>
      </c>
      <c r="C235" s="1">
        <v>451.8</v>
      </c>
      <c r="D235" s="1"/>
      <c r="E235" s="1">
        <f aca="true" t="shared" si="100" ref="E235:E285">C235+D235</f>
        <v>451.8</v>
      </c>
      <c r="F235" s="2">
        <v>9.71</v>
      </c>
      <c r="G235" s="2">
        <f t="shared" si="92"/>
        <v>4386.978</v>
      </c>
      <c r="H235" s="2">
        <f t="shared" si="93"/>
        <v>26321.868000000002</v>
      </c>
      <c r="I235" s="2">
        <f t="shared" si="79"/>
        <v>9.71</v>
      </c>
      <c r="J235" s="2">
        <f t="shared" si="80"/>
        <v>4386.978</v>
      </c>
      <c r="K235" s="2">
        <f t="shared" si="94"/>
        <v>26321.868000000002</v>
      </c>
      <c r="L235" s="97">
        <f t="shared" si="99"/>
        <v>52643.736000000004</v>
      </c>
      <c r="M235" s="109">
        <v>3.92</v>
      </c>
      <c r="N235" s="89">
        <f t="shared" si="81"/>
        <v>21252.672</v>
      </c>
      <c r="O235" s="64">
        <v>1.46</v>
      </c>
      <c r="P235" s="90">
        <f t="shared" si="82"/>
        <v>7915.536</v>
      </c>
      <c r="Q235" s="64"/>
      <c r="R235" s="90">
        <f t="shared" si="83"/>
        <v>0</v>
      </c>
      <c r="S235" s="64"/>
      <c r="T235" s="91">
        <f t="shared" si="84"/>
        <v>0</v>
      </c>
      <c r="U235" s="64">
        <v>3.31</v>
      </c>
      <c r="V235" s="90">
        <f t="shared" si="85"/>
        <v>17945.496</v>
      </c>
      <c r="W235" s="96"/>
      <c r="X235" s="91">
        <f t="shared" si="86"/>
        <v>0</v>
      </c>
      <c r="Y235" s="110">
        <f t="shared" si="89"/>
        <v>47113.704</v>
      </c>
      <c r="Z235" s="32"/>
      <c r="AA235" s="12">
        <f t="shared" si="87"/>
        <v>0</v>
      </c>
      <c r="AB235" s="25">
        <f t="shared" si="88"/>
        <v>52643.736000000004</v>
      </c>
      <c r="AC235" s="166"/>
      <c r="AD235" s="8">
        <f t="shared" si="95"/>
        <v>52643.736000000004</v>
      </c>
      <c r="AE235" s="167">
        <v>17506.752</v>
      </c>
      <c r="AF235" s="168">
        <v>0</v>
      </c>
      <c r="AG235" s="168">
        <v>4386.978</v>
      </c>
      <c r="AH235" s="168">
        <v>0</v>
      </c>
      <c r="AI235" s="168">
        <v>52643.736000000004</v>
      </c>
      <c r="AJ235" s="59" t="s">
        <v>299</v>
      </c>
      <c r="AK235" s="59"/>
      <c r="AL235" s="45">
        <v>0</v>
      </c>
      <c r="AM235" s="45">
        <v>1463.41</v>
      </c>
      <c r="AN235" s="2">
        <v>0</v>
      </c>
      <c r="AO235" s="2">
        <v>2796.6</v>
      </c>
      <c r="AP235" s="1">
        <v>0</v>
      </c>
      <c r="AQ235" s="1">
        <v>2499.21</v>
      </c>
      <c r="AR235" s="24">
        <v>0</v>
      </c>
      <c r="AS235" s="24">
        <v>3495.1</v>
      </c>
      <c r="AT235" s="1">
        <v>0</v>
      </c>
      <c r="AU235" s="1">
        <v>1463.41</v>
      </c>
      <c r="AV235" s="24">
        <v>0</v>
      </c>
      <c r="AW235" s="24">
        <v>1589.41</v>
      </c>
      <c r="AX235" s="45">
        <v>0</v>
      </c>
      <c r="AY235" s="45">
        <v>4095.53</v>
      </c>
      <c r="AZ235" s="24">
        <v>0</v>
      </c>
      <c r="BA235" s="24">
        <v>1463.41</v>
      </c>
      <c r="BB235" s="24">
        <v>0</v>
      </c>
      <c r="BC235" s="24">
        <v>1463.41</v>
      </c>
      <c r="BD235" s="24">
        <v>0</v>
      </c>
      <c r="BE235" s="24">
        <v>4482.81</v>
      </c>
      <c r="BF235" s="24">
        <v>0</v>
      </c>
      <c r="BG235" s="24">
        <v>5308.81</v>
      </c>
      <c r="BH235" s="24">
        <v>0</v>
      </c>
      <c r="BI235" s="24">
        <v>1463.41</v>
      </c>
      <c r="BJ235" s="9">
        <f t="shared" si="96"/>
        <v>0</v>
      </c>
      <c r="BK235" s="9">
        <f t="shared" si="97"/>
        <v>31584.52</v>
      </c>
      <c r="BL235" s="153">
        <f t="shared" si="98"/>
        <v>31584.52</v>
      </c>
      <c r="BM235" s="154"/>
      <c r="BN235" s="154"/>
      <c r="BO235" s="154"/>
      <c r="BP235" s="154"/>
      <c r="BQ235" s="154"/>
      <c r="BR235" s="155">
        <f t="shared" si="91"/>
        <v>31584.52</v>
      </c>
      <c r="BS235" s="198">
        <v>1319.26</v>
      </c>
      <c r="BT235" s="199">
        <v>13836</v>
      </c>
      <c r="BU235" s="20">
        <f t="shared" si="90"/>
        <v>22378.476000000002</v>
      </c>
      <c r="BV235" s="231">
        <v>30510.76</v>
      </c>
      <c r="BW235" s="229"/>
      <c r="BX235" s="230"/>
    </row>
    <row r="236" spans="1:76" ht="15.75">
      <c r="A236" s="1">
        <v>229</v>
      </c>
      <c r="B236" s="1" t="s">
        <v>215</v>
      </c>
      <c r="C236" s="1">
        <v>464.2</v>
      </c>
      <c r="D236" s="1">
        <v>0</v>
      </c>
      <c r="E236" s="1">
        <f t="shared" si="100"/>
        <v>464.2</v>
      </c>
      <c r="F236" s="2">
        <v>9.71</v>
      </c>
      <c r="G236" s="2">
        <f t="shared" si="92"/>
        <v>4507.3820000000005</v>
      </c>
      <c r="H236" s="2">
        <f t="shared" si="93"/>
        <v>27044.292</v>
      </c>
      <c r="I236" s="2">
        <f aca="true" t="shared" si="101" ref="I236:I285">F236*1</f>
        <v>9.71</v>
      </c>
      <c r="J236" s="2">
        <f t="shared" si="80"/>
        <v>4507.3820000000005</v>
      </c>
      <c r="K236" s="2">
        <f t="shared" si="94"/>
        <v>27044.292</v>
      </c>
      <c r="L236" s="97">
        <f t="shared" si="99"/>
        <v>54088.584</v>
      </c>
      <c r="M236" s="109">
        <v>3.92</v>
      </c>
      <c r="N236" s="89">
        <f t="shared" si="81"/>
        <v>21835.968</v>
      </c>
      <c r="O236" s="64">
        <v>1.46</v>
      </c>
      <c r="P236" s="90">
        <f t="shared" si="82"/>
        <v>8132.784</v>
      </c>
      <c r="Q236" s="64"/>
      <c r="R236" s="90">
        <f t="shared" si="83"/>
        <v>0</v>
      </c>
      <c r="S236" s="64"/>
      <c r="T236" s="91">
        <f t="shared" si="84"/>
        <v>0</v>
      </c>
      <c r="U236" s="64">
        <v>3.23</v>
      </c>
      <c r="V236" s="90">
        <f t="shared" si="85"/>
        <v>17992.392</v>
      </c>
      <c r="W236" s="96"/>
      <c r="X236" s="91">
        <f t="shared" si="86"/>
        <v>0</v>
      </c>
      <c r="Y236" s="110">
        <f t="shared" si="89"/>
        <v>47961.144</v>
      </c>
      <c r="Z236" s="32">
        <v>-86568.52</v>
      </c>
      <c r="AA236" s="12">
        <f t="shared" si="87"/>
        <v>-1.6004952172532378</v>
      </c>
      <c r="AB236" s="25">
        <f t="shared" si="88"/>
        <v>-32479.936</v>
      </c>
      <c r="AC236" s="44"/>
      <c r="AD236" s="8">
        <f t="shared" si="95"/>
        <v>-32479.936</v>
      </c>
      <c r="AE236" s="167">
        <v>15151.488000000001</v>
      </c>
      <c r="AF236" s="168">
        <v>0</v>
      </c>
      <c r="AG236" s="168">
        <v>1262.624000000001</v>
      </c>
      <c r="AH236" s="168">
        <v>0</v>
      </c>
      <c r="AI236" s="168">
        <v>15151.488000000012</v>
      </c>
      <c r="AJ236" s="59" t="s">
        <v>299</v>
      </c>
      <c r="AK236" s="26" t="s">
        <v>352</v>
      </c>
      <c r="AL236" s="45">
        <v>0</v>
      </c>
      <c r="AM236" s="45">
        <v>1267.27</v>
      </c>
      <c r="AN236" s="2">
        <v>0</v>
      </c>
      <c r="AO236" s="2">
        <v>3619.01</v>
      </c>
      <c r="AP236" s="1">
        <v>0</v>
      </c>
      <c r="AQ236" s="1">
        <v>1267.27</v>
      </c>
      <c r="AR236" s="24">
        <v>0</v>
      </c>
      <c r="AS236" s="24">
        <v>3298.96</v>
      </c>
      <c r="AT236" s="1">
        <v>0</v>
      </c>
      <c r="AU236" s="1">
        <v>1267.27</v>
      </c>
      <c r="AV236" s="24">
        <v>0</v>
      </c>
      <c r="AW236" s="24">
        <v>1603.27</v>
      </c>
      <c r="AX236" s="45">
        <v>0</v>
      </c>
      <c r="AY236" s="45">
        <v>4075.27</v>
      </c>
      <c r="AZ236" s="24">
        <v>0</v>
      </c>
      <c r="BA236" s="24">
        <v>1267.27</v>
      </c>
      <c r="BB236" s="24">
        <v>0</v>
      </c>
      <c r="BC236" s="24">
        <v>1267.27</v>
      </c>
      <c r="BD236" s="24">
        <v>0</v>
      </c>
      <c r="BE236" s="24">
        <v>4286.67</v>
      </c>
      <c r="BF236" s="24">
        <v>0</v>
      </c>
      <c r="BG236" s="24">
        <v>5794.67</v>
      </c>
      <c r="BH236" s="24">
        <v>0</v>
      </c>
      <c r="BI236" s="24">
        <v>1362.27</v>
      </c>
      <c r="BJ236" s="9">
        <f t="shared" si="96"/>
        <v>0</v>
      </c>
      <c r="BK236" s="9">
        <f t="shared" si="97"/>
        <v>30376.470000000005</v>
      </c>
      <c r="BL236" s="153">
        <f t="shared" si="98"/>
        <v>30376.470000000005</v>
      </c>
      <c r="BM236" s="154"/>
      <c r="BN236" s="154"/>
      <c r="BO236" s="154"/>
      <c r="BP236" s="154"/>
      <c r="BQ236" s="154"/>
      <c r="BR236" s="155">
        <f t="shared" si="91"/>
        <v>30376.470000000005</v>
      </c>
      <c r="BS236" s="198">
        <v>1353.71</v>
      </c>
      <c r="BT236" s="199">
        <v>17964</v>
      </c>
      <c r="BU236" s="20">
        <f t="shared" si="90"/>
        <v>-61502.696</v>
      </c>
      <c r="BV236" s="231">
        <v>306666.85</v>
      </c>
      <c r="BW236" s="229"/>
      <c r="BX236" s="230"/>
    </row>
    <row r="237" spans="1:76" ht="15.75">
      <c r="A237" s="1">
        <v>230</v>
      </c>
      <c r="B237" s="1" t="s">
        <v>298</v>
      </c>
      <c r="C237" s="1">
        <v>1593.8</v>
      </c>
      <c r="D237" s="1">
        <v>0</v>
      </c>
      <c r="E237" s="1">
        <f t="shared" si="100"/>
        <v>1593.8</v>
      </c>
      <c r="F237" s="2">
        <v>15.76</v>
      </c>
      <c r="G237" s="2">
        <f t="shared" si="92"/>
        <v>25118.288</v>
      </c>
      <c r="H237" s="2">
        <f t="shared" si="93"/>
        <v>150709.728</v>
      </c>
      <c r="I237" s="2">
        <f t="shared" si="101"/>
        <v>15.76</v>
      </c>
      <c r="J237" s="2">
        <f t="shared" si="80"/>
        <v>25118.288</v>
      </c>
      <c r="K237" s="2">
        <f t="shared" si="94"/>
        <v>150709.728</v>
      </c>
      <c r="L237" s="97">
        <f t="shared" si="99"/>
        <v>301419.456</v>
      </c>
      <c r="M237" s="109">
        <v>3.92</v>
      </c>
      <c r="N237" s="89">
        <f t="shared" si="81"/>
        <v>74972.352</v>
      </c>
      <c r="O237" s="64">
        <v>1.46</v>
      </c>
      <c r="P237" s="90">
        <f t="shared" si="82"/>
        <v>27923.375999999997</v>
      </c>
      <c r="Q237" s="64">
        <v>0.52</v>
      </c>
      <c r="R237" s="90">
        <f t="shared" si="83"/>
        <v>9945.312</v>
      </c>
      <c r="S237" s="64">
        <v>0.89</v>
      </c>
      <c r="T237" s="91">
        <f t="shared" si="84"/>
        <v>17021.784</v>
      </c>
      <c r="U237" s="64">
        <v>0.95</v>
      </c>
      <c r="V237" s="90">
        <f t="shared" si="85"/>
        <v>18169.32</v>
      </c>
      <c r="W237" s="96"/>
      <c r="X237" s="91">
        <f t="shared" si="86"/>
        <v>0</v>
      </c>
      <c r="Y237" s="110">
        <f t="shared" si="89"/>
        <v>148032.144</v>
      </c>
      <c r="Z237" s="32"/>
      <c r="AA237" s="12">
        <f t="shared" si="87"/>
        <v>0</v>
      </c>
      <c r="AB237" s="25">
        <f t="shared" si="88"/>
        <v>301419.456</v>
      </c>
      <c r="AC237" s="44"/>
      <c r="AD237" s="8">
        <f t="shared" si="95"/>
        <v>301419.456</v>
      </c>
      <c r="AE237" s="167">
        <v>105655.728</v>
      </c>
      <c r="AF237" s="168">
        <v>0</v>
      </c>
      <c r="AG237" s="168">
        <v>25118.288</v>
      </c>
      <c r="AH237" s="168">
        <v>0</v>
      </c>
      <c r="AI237" s="168">
        <v>301419.456</v>
      </c>
      <c r="AJ237" s="59"/>
      <c r="AK237" s="59"/>
      <c r="AL237" s="45">
        <v>0</v>
      </c>
      <c r="AM237" s="45">
        <v>72980.96</v>
      </c>
      <c r="AN237" s="2">
        <v>0</v>
      </c>
      <c r="AO237" s="2">
        <v>8173.55</v>
      </c>
      <c r="AP237" s="1">
        <v>0</v>
      </c>
      <c r="AQ237" s="1">
        <v>34369.85</v>
      </c>
      <c r="AR237" s="24">
        <v>0</v>
      </c>
      <c r="AS237" s="24">
        <v>22294.98</v>
      </c>
      <c r="AT237" s="1">
        <v>0</v>
      </c>
      <c r="AU237" s="1">
        <v>26838.88</v>
      </c>
      <c r="AV237" s="24">
        <v>0</v>
      </c>
      <c r="AW237" s="24">
        <v>23331.86</v>
      </c>
      <c r="AX237" s="45">
        <v>0</v>
      </c>
      <c r="AY237" s="45">
        <v>12275.34</v>
      </c>
      <c r="AZ237" s="24">
        <v>0</v>
      </c>
      <c r="BA237" s="24">
        <v>11195.34</v>
      </c>
      <c r="BB237" s="24">
        <v>0</v>
      </c>
      <c r="BC237" s="24">
        <v>19827.34</v>
      </c>
      <c r="BD237" s="24">
        <v>0</v>
      </c>
      <c r="BE237" s="24">
        <v>15013.19</v>
      </c>
      <c r="BF237" s="24">
        <v>0</v>
      </c>
      <c r="BG237" s="24">
        <v>10692.22</v>
      </c>
      <c r="BH237" s="24">
        <v>0</v>
      </c>
      <c r="BI237" s="24">
        <v>9308.98</v>
      </c>
      <c r="BJ237" s="9">
        <f t="shared" si="96"/>
        <v>0</v>
      </c>
      <c r="BK237" s="9">
        <f t="shared" si="97"/>
        <v>266302.49</v>
      </c>
      <c r="BL237" s="153">
        <f t="shared" si="98"/>
        <v>266302.49</v>
      </c>
      <c r="BM237" s="154"/>
      <c r="BN237" s="154"/>
      <c r="BO237" s="154">
        <v>1239.96</v>
      </c>
      <c r="BP237" s="154"/>
      <c r="BQ237" s="154"/>
      <c r="BR237" s="155">
        <f t="shared" si="91"/>
        <v>267542.45</v>
      </c>
      <c r="BS237" s="198">
        <v>1159.53</v>
      </c>
      <c r="BT237" s="199">
        <v>4128</v>
      </c>
      <c r="BU237" s="20">
        <f t="shared" si="90"/>
        <v>35036.53599999999</v>
      </c>
      <c r="BV237" s="231">
        <v>819656.47</v>
      </c>
      <c r="BW237" s="229"/>
      <c r="BX237" s="230"/>
    </row>
    <row r="238" spans="1:76" ht="15.75">
      <c r="A238" s="1">
        <v>231</v>
      </c>
      <c r="B238" s="1" t="s">
        <v>216</v>
      </c>
      <c r="C238" s="1">
        <v>906.8</v>
      </c>
      <c r="D238" s="1">
        <v>0</v>
      </c>
      <c r="E238" s="1">
        <f t="shared" si="100"/>
        <v>906.8</v>
      </c>
      <c r="F238" s="2">
        <v>15.5</v>
      </c>
      <c r="G238" s="2">
        <f t="shared" si="92"/>
        <v>14055.4</v>
      </c>
      <c r="H238" s="2">
        <f t="shared" si="93"/>
        <v>84332.4</v>
      </c>
      <c r="I238" s="2">
        <f t="shared" si="101"/>
        <v>15.5</v>
      </c>
      <c r="J238" s="2">
        <f t="shared" si="80"/>
        <v>14055.4</v>
      </c>
      <c r="K238" s="2">
        <f t="shared" si="94"/>
        <v>84332.4</v>
      </c>
      <c r="L238" s="97">
        <f t="shared" si="99"/>
        <v>168664.8</v>
      </c>
      <c r="M238" s="109">
        <v>3.92</v>
      </c>
      <c r="N238" s="89">
        <f t="shared" si="81"/>
        <v>42655.872</v>
      </c>
      <c r="O238" s="64">
        <v>1.46</v>
      </c>
      <c r="P238" s="90">
        <f t="shared" si="82"/>
        <v>15887.135999999999</v>
      </c>
      <c r="Q238" s="64"/>
      <c r="R238" s="90">
        <f t="shared" si="83"/>
        <v>0</v>
      </c>
      <c r="S238" s="64"/>
      <c r="T238" s="91">
        <f t="shared" si="84"/>
        <v>0</v>
      </c>
      <c r="U238" s="64">
        <v>0.76</v>
      </c>
      <c r="V238" s="90">
        <f t="shared" si="85"/>
        <v>8270.016</v>
      </c>
      <c r="W238" s="96"/>
      <c r="X238" s="91">
        <f t="shared" si="86"/>
        <v>0</v>
      </c>
      <c r="Y238" s="110">
        <f t="shared" si="89"/>
        <v>66813.024</v>
      </c>
      <c r="Z238" s="32"/>
      <c r="AA238" s="12">
        <f t="shared" si="87"/>
        <v>0</v>
      </c>
      <c r="AB238" s="25">
        <f t="shared" si="88"/>
        <v>168664.8</v>
      </c>
      <c r="AC238" s="44"/>
      <c r="AD238" s="8">
        <f t="shared" si="95"/>
        <v>168664.8</v>
      </c>
      <c r="AE238" s="167">
        <v>32357.952</v>
      </c>
      <c r="AF238" s="168">
        <v>0</v>
      </c>
      <c r="AG238" s="168">
        <v>14055.4</v>
      </c>
      <c r="AH238" s="168">
        <v>0</v>
      </c>
      <c r="AI238" s="168">
        <v>168664.8</v>
      </c>
      <c r="AJ238" s="59" t="s">
        <v>296</v>
      </c>
      <c r="AK238" s="59"/>
      <c r="AL238" s="45">
        <v>0</v>
      </c>
      <c r="AM238" s="45">
        <v>2705.56</v>
      </c>
      <c r="AN238" s="2">
        <v>0</v>
      </c>
      <c r="AO238" s="2">
        <v>2705.56</v>
      </c>
      <c r="AP238" s="1">
        <v>0</v>
      </c>
      <c r="AQ238" s="1">
        <v>2705.56</v>
      </c>
      <c r="AR238" s="24">
        <v>0</v>
      </c>
      <c r="AS238" s="24">
        <v>10580.56</v>
      </c>
      <c r="AT238" s="1">
        <v>0</v>
      </c>
      <c r="AU238" s="1">
        <v>2705.56</v>
      </c>
      <c r="AV238" s="24">
        <v>0</v>
      </c>
      <c r="AW238" s="24">
        <v>8358.05</v>
      </c>
      <c r="AX238" s="45">
        <v>0</v>
      </c>
      <c r="AY238" s="45">
        <v>3785.56</v>
      </c>
      <c r="AZ238" s="24">
        <v>0</v>
      </c>
      <c r="BA238" s="24">
        <v>2705.56</v>
      </c>
      <c r="BB238" s="24">
        <v>0</v>
      </c>
      <c r="BC238" s="24">
        <v>3388.06</v>
      </c>
      <c r="BD238" s="24">
        <v>0</v>
      </c>
      <c r="BE238" s="24">
        <v>5121.08</v>
      </c>
      <c r="BF238" s="24">
        <v>0</v>
      </c>
      <c r="BG238" s="24">
        <v>5458.11</v>
      </c>
      <c r="BH238" s="24">
        <v>0</v>
      </c>
      <c r="BI238" s="24">
        <v>4385.56</v>
      </c>
      <c r="BJ238" s="9">
        <f t="shared" si="96"/>
        <v>0</v>
      </c>
      <c r="BK238" s="9">
        <f t="shared" si="97"/>
        <v>54604.77999999999</v>
      </c>
      <c r="BL238" s="153">
        <f t="shared" si="98"/>
        <v>54604.77999999999</v>
      </c>
      <c r="BM238" s="154"/>
      <c r="BN238" s="154"/>
      <c r="BO238" s="154"/>
      <c r="BP238" s="154"/>
      <c r="BQ238" s="154"/>
      <c r="BR238" s="155">
        <f t="shared" si="91"/>
        <v>54604.77999999999</v>
      </c>
      <c r="BS238" s="198">
        <v>1323.93</v>
      </c>
      <c r="BT238" s="199">
        <v>8256</v>
      </c>
      <c r="BU238" s="20">
        <f t="shared" si="90"/>
        <v>115383.94999999998</v>
      </c>
      <c r="BV238" s="231">
        <v>36641.58</v>
      </c>
      <c r="BW238" s="229"/>
      <c r="BX238" s="230"/>
    </row>
    <row r="239" spans="1:76" ht="15.75">
      <c r="A239" s="1">
        <v>232</v>
      </c>
      <c r="B239" s="1" t="s">
        <v>217</v>
      </c>
      <c r="C239" s="1">
        <v>511.9</v>
      </c>
      <c r="D239" s="1">
        <v>0</v>
      </c>
      <c r="E239" s="1">
        <f t="shared" si="100"/>
        <v>511.9</v>
      </c>
      <c r="F239" s="2">
        <v>15.35</v>
      </c>
      <c r="G239" s="2">
        <f t="shared" si="92"/>
        <v>7857.664999999999</v>
      </c>
      <c r="H239" s="2">
        <f t="shared" si="93"/>
        <v>47145.98999999999</v>
      </c>
      <c r="I239" s="2">
        <f t="shared" si="101"/>
        <v>15.35</v>
      </c>
      <c r="J239" s="2">
        <f t="shared" si="80"/>
        <v>7857.664999999999</v>
      </c>
      <c r="K239" s="2">
        <f t="shared" si="94"/>
        <v>47145.98999999999</v>
      </c>
      <c r="L239" s="97">
        <f t="shared" si="99"/>
        <v>94291.97999999998</v>
      </c>
      <c r="M239" s="109">
        <v>3.92</v>
      </c>
      <c r="N239" s="89">
        <f t="shared" si="81"/>
        <v>24079.775999999998</v>
      </c>
      <c r="O239" s="64">
        <v>1.46</v>
      </c>
      <c r="P239" s="90">
        <f t="shared" si="82"/>
        <v>8968.488</v>
      </c>
      <c r="Q239" s="64"/>
      <c r="R239" s="90">
        <f t="shared" si="83"/>
        <v>0</v>
      </c>
      <c r="S239" s="64"/>
      <c r="T239" s="91">
        <f t="shared" si="84"/>
        <v>0</v>
      </c>
      <c r="U239" s="64">
        <v>1.35</v>
      </c>
      <c r="V239" s="90">
        <f t="shared" si="85"/>
        <v>8292.78</v>
      </c>
      <c r="W239" s="96"/>
      <c r="X239" s="91">
        <f t="shared" si="86"/>
        <v>0</v>
      </c>
      <c r="Y239" s="110">
        <f t="shared" si="89"/>
        <v>41341.043999999994</v>
      </c>
      <c r="Z239" s="32"/>
      <c r="AA239" s="12">
        <f t="shared" si="87"/>
        <v>0</v>
      </c>
      <c r="AB239" s="25">
        <f t="shared" si="88"/>
        <v>94291.97999999998</v>
      </c>
      <c r="AC239" s="44"/>
      <c r="AD239" s="8">
        <f t="shared" si="95"/>
        <v>94291.97999999998</v>
      </c>
      <c r="AE239" s="167">
        <v>35808.263999999996</v>
      </c>
      <c r="AF239" s="168">
        <v>0</v>
      </c>
      <c r="AG239" s="168">
        <v>7857.664999999998</v>
      </c>
      <c r="AH239" s="168">
        <v>0</v>
      </c>
      <c r="AI239" s="168">
        <v>94291.97999999998</v>
      </c>
      <c r="AJ239" s="26"/>
      <c r="AK239" s="26"/>
      <c r="AL239" s="45">
        <v>0</v>
      </c>
      <c r="AM239" s="45">
        <v>2548.91</v>
      </c>
      <c r="AN239" s="2">
        <v>0</v>
      </c>
      <c r="AO239" s="2">
        <v>2548.91</v>
      </c>
      <c r="AP239" s="1">
        <v>0</v>
      </c>
      <c r="AQ239" s="1">
        <v>3584.71</v>
      </c>
      <c r="AR239" s="24">
        <v>0</v>
      </c>
      <c r="AS239" s="24">
        <v>5517.78</v>
      </c>
      <c r="AT239" s="1">
        <v>0</v>
      </c>
      <c r="AU239" s="1">
        <v>3342.35</v>
      </c>
      <c r="AV239" s="24">
        <v>0</v>
      </c>
      <c r="AW239" s="24">
        <v>8632.35</v>
      </c>
      <c r="AX239" s="45">
        <v>0</v>
      </c>
      <c r="AY239" s="45">
        <v>9712.35</v>
      </c>
      <c r="AZ239" s="24">
        <v>0</v>
      </c>
      <c r="BA239" s="24">
        <v>3342.35</v>
      </c>
      <c r="BB239" s="24">
        <v>0</v>
      </c>
      <c r="BC239" s="24">
        <v>4462.35</v>
      </c>
      <c r="BD239" s="24">
        <v>0</v>
      </c>
      <c r="BE239" s="24">
        <v>19887.06</v>
      </c>
      <c r="BF239" s="24">
        <v>0</v>
      </c>
      <c r="BG239" s="24">
        <v>5301.46</v>
      </c>
      <c r="BH239" s="24">
        <v>0</v>
      </c>
      <c r="BI239" s="24">
        <v>4798.91</v>
      </c>
      <c r="BJ239" s="9">
        <f t="shared" si="96"/>
        <v>0</v>
      </c>
      <c r="BK239" s="9">
        <f t="shared" si="97"/>
        <v>73679.49</v>
      </c>
      <c r="BL239" s="153">
        <f t="shared" si="98"/>
        <v>73679.49</v>
      </c>
      <c r="BM239" s="154"/>
      <c r="BN239" s="154"/>
      <c r="BO239" s="154"/>
      <c r="BP239" s="154"/>
      <c r="BQ239" s="154"/>
      <c r="BR239" s="155">
        <f t="shared" si="91"/>
        <v>73679.49</v>
      </c>
      <c r="BS239" s="198">
        <v>747.37</v>
      </c>
      <c r="BT239" s="199">
        <v>8256</v>
      </c>
      <c r="BU239" s="20">
        <f t="shared" si="90"/>
        <v>21359.859999999975</v>
      </c>
      <c r="BV239" s="231">
        <v>23596.91</v>
      </c>
      <c r="BW239" s="229"/>
      <c r="BX239" s="230"/>
    </row>
    <row r="240" spans="1:76" ht="15.75">
      <c r="A240" s="1">
        <v>233</v>
      </c>
      <c r="B240" s="1" t="s">
        <v>218</v>
      </c>
      <c r="C240" s="1">
        <v>1345.9</v>
      </c>
      <c r="D240" s="1">
        <v>0</v>
      </c>
      <c r="E240" s="1">
        <f t="shared" si="100"/>
        <v>1345.9</v>
      </c>
      <c r="F240" s="2">
        <v>15.76</v>
      </c>
      <c r="G240" s="2">
        <f t="shared" si="92"/>
        <v>21211.384000000002</v>
      </c>
      <c r="H240" s="2">
        <f t="shared" si="93"/>
        <v>127268.304</v>
      </c>
      <c r="I240" s="2">
        <f t="shared" si="101"/>
        <v>15.76</v>
      </c>
      <c r="J240" s="2">
        <f t="shared" si="80"/>
        <v>21211.384000000002</v>
      </c>
      <c r="K240" s="2">
        <f t="shared" si="94"/>
        <v>127268.304</v>
      </c>
      <c r="L240" s="97">
        <f t="shared" si="99"/>
        <v>254536.608</v>
      </c>
      <c r="M240" s="109">
        <v>3.92</v>
      </c>
      <c r="N240" s="89">
        <f t="shared" si="81"/>
        <v>63311.136</v>
      </c>
      <c r="O240" s="64">
        <v>1.46</v>
      </c>
      <c r="P240" s="90">
        <f t="shared" si="82"/>
        <v>23580.168</v>
      </c>
      <c r="Q240" s="64">
        <v>0.52</v>
      </c>
      <c r="R240" s="90">
        <f t="shared" si="83"/>
        <v>8398.416000000001</v>
      </c>
      <c r="S240" s="64">
        <v>0.89</v>
      </c>
      <c r="T240" s="91">
        <f t="shared" si="84"/>
        <v>14374.212000000001</v>
      </c>
      <c r="U240" s="64">
        <v>0.51</v>
      </c>
      <c r="V240" s="90">
        <f t="shared" si="85"/>
        <v>8236.908000000001</v>
      </c>
      <c r="W240" s="96"/>
      <c r="X240" s="91">
        <f t="shared" si="86"/>
        <v>0</v>
      </c>
      <c r="Y240" s="110">
        <f t="shared" si="89"/>
        <v>117900.84</v>
      </c>
      <c r="Z240" s="32"/>
      <c r="AA240" s="12">
        <f t="shared" si="87"/>
        <v>0</v>
      </c>
      <c r="AB240" s="25">
        <f t="shared" si="88"/>
        <v>254536.608</v>
      </c>
      <c r="AC240" s="44"/>
      <c r="AD240" s="8">
        <f t="shared" si="95"/>
        <v>254536.608</v>
      </c>
      <c r="AE240" s="167">
        <v>89651.304</v>
      </c>
      <c r="AF240" s="168">
        <v>11059.298820401295</v>
      </c>
      <c r="AG240" s="168">
        <v>10152.08517959871</v>
      </c>
      <c r="AH240" s="168">
        <v>132711.58584481553</v>
      </c>
      <c r="AI240" s="168">
        <v>121825.0221551845</v>
      </c>
      <c r="AJ240" s="59"/>
      <c r="AK240" s="59"/>
      <c r="AL240" s="45">
        <v>22629.87</v>
      </c>
      <c r="AM240" s="45">
        <v>3904.31</v>
      </c>
      <c r="AN240" s="2">
        <v>3835.73</v>
      </c>
      <c r="AO240" s="2">
        <v>4848.35</v>
      </c>
      <c r="AP240" s="1">
        <v>2624.51</v>
      </c>
      <c r="AQ240" s="1">
        <v>4619.95</v>
      </c>
      <c r="AR240" s="24">
        <v>3502.01</v>
      </c>
      <c r="AS240" s="24">
        <v>10353.84</v>
      </c>
      <c r="AT240" s="1">
        <v>5585.49</v>
      </c>
      <c r="AU240" s="1">
        <v>3904.31</v>
      </c>
      <c r="AV240" s="24">
        <v>53818.49</v>
      </c>
      <c r="AW240" s="24">
        <v>3904.31</v>
      </c>
      <c r="AX240" s="45">
        <v>6055.74</v>
      </c>
      <c r="AY240" s="45">
        <v>14484.31</v>
      </c>
      <c r="AZ240" s="24">
        <v>6898.34</v>
      </c>
      <c r="BA240" s="24">
        <v>5356.33</v>
      </c>
      <c r="BB240" s="24">
        <v>6881.49</v>
      </c>
      <c r="BC240" s="24">
        <v>3904.31</v>
      </c>
      <c r="BD240" s="24">
        <v>4682.37</v>
      </c>
      <c r="BE240" s="24">
        <v>8222</v>
      </c>
      <c r="BF240" s="24">
        <v>2624.51</v>
      </c>
      <c r="BG240" s="24">
        <v>5412.31</v>
      </c>
      <c r="BH240" s="24">
        <v>22811.15</v>
      </c>
      <c r="BI240" s="24">
        <v>3904.31</v>
      </c>
      <c r="BJ240" s="9">
        <f t="shared" si="96"/>
        <v>141949.7</v>
      </c>
      <c r="BK240" s="9">
        <f t="shared" si="97"/>
        <v>72818.64</v>
      </c>
      <c r="BL240" s="153">
        <f t="shared" si="98"/>
        <v>214768.34000000003</v>
      </c>
      <c r="BM240" s="154"/>
      <c r="BN240" s="154"/>
      <c r="BO240" s="154">
        <v>1047.1</v>
      </c>
      <c r="BP240" s="154"/>
      <c r="BQ240" s="154"/>
      <c r="BR240" s="155">
        <f t="shared" si="91"/>
        <v>215815.44000000003</v>
      </c>
      <c r="BS240" s="198">
        <v>1965.01</v>
      </c>
      <c r="BT240" s="199">
        <v>4128</v>
      </c>
      <c r="BU240" s="20">
        <f t="shared" si="90"/>
        <v>40686.17799999998</v>
      </c>
      <c r="BV240" s="231">
        <v>813789.99</v>
      </c>
      <c r="BW240" s="229"/>
      <c r="BX240" s="230"/>
    </row>
    <row r="241" spans="1:76" ht="15.75">
      <c r="A241" s="1">
        <v>234</v>
      </c>
      <c r="B241" s="1" t="s">
        <v>219</v>
      </c>
      <c r="C241" s="1">
        <v>959.8</v>
      </c>
      <c r="D241" s="1">
        <v>0</v>
      </c>
      <c r="E241" s="1">
        <f t="shared" si="100"/>
        <v>959.8</v>
      </c>
      <c r="F241" s="2">
        <v>11.85</v>
      </c>
      <c r="G241" s="2">
        <f t="shared" si="92"/>
        <v>11373.63</v>
      </c>
      <c r="H241" s="2">
        <f t="shared" si="93"/>
        <v>68241.78</v>
      </c>
      <c r="I241" s="2">
        <f t="shared" si="101"/>
        <v>11.85</v>
      </c>
      <c r="J241" s="2">
        <f t="shared" si="80"/>
        <v>11373.63</v>
      </c>
      <c r="K241" s="2">
        <f t="shared" si="94"/>
        <v>68241.78</v>
      </c>
      <c r="L241" s="97">
        <f t="shared" si="99"/>
        <v>136483.56</v>
      </c>
      <c r="M241" s="109">
        <v>3.92</v>
      </c>
      <c r="N241" s="89">
        <f t="shared" si="81"/>
        <v>45148.992</v>
      </c>
      <c r="O241" s="64">
        <v>1.46</v>
      </c>
      <c r="P241" s="90">
        <f t="shared" si="82"/>
        <v>16815.696</v>
      </c>
      <c r="Q241" s="64"/>
      <c r="R241" s="90">
        <f t="shared" si="83"/>
        <v>0</v>
      </c>
      <c r="S241" s="64"/>
      <c r="T241" s="91">
        <f t="shared" si="84"/>
        <v>0</v>
      </c>
      <c r="U241" s="64">
        <v>0.72</v>
      </c>
      <c r="V241" s="90">
        <f t="shared" si="85"/>
        <v>8292.671999999999</v>
      </c>
      <c r="W241" s="96"/>
      <c r="X241" s="91">
        <f t="shared" si="86"/>
        <v>0</v>
      </c>
      <c r="Y241" s="110">
        <f t="shared" si="89"/>
        <v>70257.35999999999</v>
      </c>
      <c r="Z241" s="32"/>
      <c r="AA241" s="12">
        <f t="shared" si="87"/>
        <v>0</v>
      </c>
      <c r="AB241" s="25">
        <f t="shared" si="88"/>
        <v>136483.56</v>
      </c>
      <c r="AC241" s="44"/>
      <c r="AD241" s="8">
        <f t="shared" si="95"/>
        <v>136483.56</v>
      </c>
      <c r="AE241" s="167">
        <v>34091.136000000006</v>
      </c>
      <c r="AF241" s="168">
        <v>0</v>
      </c>
      <c r="AG241" s="168">
        <v>11373.63</v>
      </c>
      <c r="AH241" s="168">
        <v>0</v>
      </c>
      <c r="AI241" s="168">
        <v>136483.56</v>
      </c>
      <c r="AJ241" s="59" t="s">
        <v>299</v>
      </c>
      <c r="AK241" s="59"/>
      <c r="AL241" s="45">
        <v>0</v>
      </c>
      <c r="AM241" s="45">
        <v>2850.25</v>
      </c>
      <c r="AN241" s="2">
        <v>0</v>
      </c>
      <c r="AO241" s="2">
        <v>2850.25</v>
      </c>
      <c r="AP241" s="1">
        <v>0</v>
      </c>
      <c r="AQ241" s="1">
        <v>3565.89</v>
      </c>
      <c r="AR241" s="24">
        <v>0</v>
      </c>
      <c r="AS241" s="24">
        <v>6396.62</v>
      </c>
      <c r="AT241" s="1">
        <v>0</v>
      </c>
      <c r="AU241" s="1">
        <v>6312.77</v>
      </c>
      <c r="AV241" s="24">
        <v>0</v>
      </c>
      <c r="AW241" s="24">
        <v>3334.82</v>
      </c>
      <c r="AX241" s="45">
        <v>0</v>
      </c>
      <c r="AY241" s="45">
        <v>2850.25</v>
      </c>
      <c r="AZ241" s="24">
        <v>0</v>
      </c>
      <c r="BA241" s="24">
        <v>7656.74</v>
      </c>
      <c r="BB241" s="24">
        <v>0</v>
      </c>
      <c r="BC241" s="24">
        <v>11964.2</v>
      </c>
      <c r="BD241" s="24">
        <v>0</v>
      </c>
      <c r="BE241" s="24">
        <v>59983.02</v>
      </c>
      <c r="BF241" s="24">
        <v>0</v>
      </c>
      <c r="BG241" s="24">
        <v>4358.25</v>
      </c>
      <c r="BH241" s="24">
        <v>0</v>
      </c>
      <c r="BI241" s="24">
        <v>5120.09</v>
      </c>
      <c r="BJ241" s="9">
        <f t="shared" si="96"/>
        <v>0</v>
      </c>
      <c r="BK241" s="9">
        <f t="shared" si="97"/>
        <v>117243.15</v>
      </c>
      <c r="BL241" s="153">
        <f t="shared" si="98"/>
        <v>117243.15</v>
      </c>
      <c r="BM241" s="154"/>
      <c r="BN241" s="154"/>
      <c r="BO241" s="154"/>
      <c r="BP241" s="154"/>
      <c r="BQ241" s="154"/>
      <c r="BR241" s="155">
        <f t="shared" si="91"/>
        <v>117243.15</v>
      </c>
      <c r="BS241" s="198">
        <v>1401.45</v>
      </c>
      <c r="BT241" s="199">
        <v>4128</v>
      </c>
      <c r="BU241" s="20">
        <f t="shared" si="90"/>
        <v>20641.860000000004</v>
      </c>
      <c r="BV241" s="231">
        <v>14093.71</v>
      </c>
      <c r="BW241" s="229"/>
      <c r="BX241" s="230"/>
    </row>
    <row r="242" spans="1:76" ht="15.75">
      <c r="A242" s="1">
        <v>235</v>
      </c>
      <c r="B242" s="1" t="s">
        <v>220</v>
      </c>
      <c r="C242" s="1">
        <v>3236.65</v>
      </c>
      <c r="D242" s="1">
        <v>71.5</v>
      </c>
      <c r="E242" s="1">
        <f t="shared" si="100"/>
        <v>3308.15</v>
      </c>
      <c r="F242" s="2">
        <v>14.8</v>
      </c>
      <c r="G242" s="2">
        <f t="shared" si="92"/>
        <v>48960.62</v>
      </c>
      <c r="H242" s="2">
        <f t="shared" si="93"/>
        <v>293763.72000000003</v>
      </c>
      <c r="I242" s="2">
        <f t="shared" si="101"/>
        <v>14.8</v>
      </c>
      <c r="J242" s="2">
        <f aca="true" t="shared" si="102" ref="J242:J285">E242*I242</f>
        <v>48960.62</v>
      </c>
      <c r="K242" s="2">
        <f t="shared" si="94"/>
        <v>293763.72000000003</v>
      </c>
      <c r="L242" s="97">
        <f t="shared" si="99"/>
        <v>587527.4400000001</v>
      </c>
      <c r="M242" s="109">
        <v>3.92</v>
      </c>
      <c r="N242" s="89">
        <f t="shared" si="81"/>
        <v>155615.376</v>
      </c>
      <c r="O242" s="64">
        <v>1.46</v>
      </c>
      <c r="P242" s="90">
        <f t="shared" si="82"/>
        <v>57958.788</v>
      </c>
      <c r="Q242" s="64"/>
      <c r="R242" s="90">
        <f t="shared" si="83"/>
        <v>0</v>
      </c>
      <c r="S242" s="64"/>
      <c r="T242" s="91">
        <f t="shared" si="84"/>
        <v>0</v>
      </c>
      <c r="U242" s="64">
        <v>0.45</v>
      </c>
      <c r="V242" s="90">
        <f t="shared" si="85"/>
        <v>17864.010000000002</v>
      </c>
      <c r="W242" s="96"/>
      <c r="X242" s="91">
        <f t="shared" si="86"/>
        <v>0</v>
      </c>
      <c r="Y242" s="110">
        <f t="shared" si="89"/>
        <v>231438.174</v>
      </c>
      <c r="Z242" s="32">
        <v>-321323.8</v>
      </c>
      <c r="AA242" s="12">
        <f t="shared" si="87"/>
        <v>-0.5469085835378173</v>
      </c>
      <c r="AB242" s="25">
        <f t="shared" si="88"/>
        <v>266203.6400000001</v>
      </c>
      <c r="AC242" s="44"/>
      <c r="AD242" s="8">
        <f t="shared" si="95"/>
        <v>266203.6400000001</v>
      </c>
      <c r="AE242" s="167">
        <v>216521.388</v>
      </c>
      <c r="AF242" s="168">
        <v>12552.691658985794</v>
      </c>
      <c r="AG242" s="168">
        <v>9630.945007680879</v>
      </c>
      <c r="AH242" s="168">
        <v>150632.29990782953</v>
      </c>
      <c r="AI242" s="168">
        <v>115571.34009217055</v>
      </c>
      <c r="AJ242" s="59"/>
      <c r="AK242" s="26" t="s">
        <v>352</v>
      </c>
      <c r="AL242" s="45">
        <v>5954.67</v>
      </c>
      <c r="AM242" s="45">
        <v>9261.25</v>
      </c>
      <c r="AN242" s="2">
        <v>211446.96</v>
      </c>
      <c r="AO242" s="2">
        <v>10131.25</v>
      </c>
      <c r="AP242" s="1">
        <v>14966.91</v>
      </c>
      <c r="AQ242" s="1">
        <v>24156.81</v>
      </c>
      <c r="AR242" s="24">
        <v>5954.67</v>
      </c>
      <c r="AS242" s="24">
        <v>12203.74</v>
      </c>
      <c r="AT242" s="1">
        <v>114061.1</v>
      </c>
      <c r="AU242" s="1">
        <v>9261.25</v>
      </c>
      <c r="AV242" s="24">
        <v>11082.3</v>
      </c>
      <c r="AW242" s="24">
        <v>22470</v>
      </c>
      <c r="AX242" s="45">
        <v>12006.6</v>
      </c>
      <c r="AY242" s="45">
        <v>9261.25</v>
      </c>
      <c r="AZ242" s="24">
        <v>18185.68</v>
      </c>
      <c r="BA242" s="24">
        <v>138970.72</v>
      </c>
      <c r="BB242" s="24">
        <v>11082.3</v>
      </c>
      <c r="BC242" s="24">
        <v>29886.42</v>
      </c>
      <c r="BD242" s="24">
        <v>5954.67</v>
      </c>
      <c r="BE242" s="24">
        <v>29645.09</v>
      </c>
      <c r="BF242" s="24">
        <v>12712.02</v>
      </c>
      <c r="BG242" s="24">
        <v>32373.39</v>
      </c>
      <c r="BH242" s="24">
        <v>19094.85</v>
      </c>
      <c r="BI242" s="24">
        <v>10334.77</v>
      </c>
      <c r="BJ242" s="9">
        <f t="shared" si="96"/>
        <v>442502.73</v>
      </c>
      <c r="BK242" s="9">
        <f t="shared" si="97"/>
        <v>337955.94000000006</v>
      </c>
      <c r="BL242" s="153">
        <f t="shared" si="98"/>
        <v>780458.67</v>
      </c>
      <c r="BM242" s="154"/>
      <c r="BN242" s="154">
        <v>53000</v>
      </c>
      <c r="BO242" s="154"/>
      <c r="BP242" s="154"/>
      <c r="BQ242" s="154"/>
      <c r="BR242" s="155">
        <f t="shared" si="91"/>
        <v>833458.67</v>
      </c>
      <c r="BS242" s="198"/>
      <c r="BT242" s="199"/>
      <c r="BU242" s="20">
        <f t="shared" si="90"/>
        <v>-567255.03</v>
      </c>
      <c r="BV242" s="231">
        <v>421158.18</v>
      </c>
      <c r="BW242" s="229"/>
      <c r="BX242" s="230"/>
    </row>
    <row r="243" spans="1:76" ht="15.75">
      <c r="A243" s="1">
        <v>236</v>
      </c>
      <c r="B243" s="1" t="s">
        <v>221</v>
      </c>
      <c r="C243" s="1">
        <v>4144.9</v>
      </c>
      <c r="D243" s="1">
        <v>485.4</v>
      </c>
      <c r="E243" s="1">
        <f t="shared" si="100"/>
        <v>4630.299999999999</v>
      </c>
      <c r="F243" s="2">
        <v>15.22</v>
      </c>
      <c r="G243" s="2">
        <f t="shared" si="92"/>
        <v>70473.166</v>
      </c>
      <c r="H243" s="2">
        <f t="shared" si="93"/>
        <v>422838.996</v>
      </c>
      <c r="I243" s="2">
        <f t="shared" si="101"/>
        <v>15.22</v>
      </c>
      <c r="J243" s="2">
        <f t="shared" si="102"/>
        <v>70473.166</v>
      </c>
      <c r="K243" s="2">
        <f t="shared" si="94"/>
        <v>422838.996</v>
      </c>
      <c r="L243" s="97">
        <f t="shared" si="99"/>
        <v>845677.992</v>
      </c>
      <c r="M243" s="109">
        <v>3.92</v>
      </c>
      <c r="N243" s="89">
        <f aca="true" t="shared" si="103" ref="N243:N285">E243*M243*12</f>
        <v>217809.31199999998</v>
      </c>
      <c r="O243" s="64">
        <v>1.46</v>
      </c>
      <c r="P243" s="90">
        <f aca="true" t="shared" si="104" ref="P243:P285">E243*O243*12</f>
        <v>81122.85599999999</v>
      </c>
      <c r="Q243" s="64"/>
      <c r="R243" s="90">
        <f aca="true" t="shared" si="105" ref="R243:R285">E243*Q243*12</f>
        <v>0</v>
      </c>
      <c r="S243" s="64"/>
      <c r="T243" s="91">
        <f aca="true" t="shared" si="106" ref="T243:T285">E243*S243*12</f>
        <v>0</v>
      </c>
      <c r="U243" s="64">
        <v>0.32</v>
      </c>
      <c r="V243" s="90">
        <f aca="true" t="shared" si="107" ref="V243:V285">E243*U243*12</f>
        <v>17780.351999999995</v>
      </c>
      <c r="W243" s="96"/>
      <c r="X243" s="91">
        <f aca="true" t="shared" si="108" ref="X243:X285">E243*W243*12</f>
        <v>0</v>
      </c>
      <c r="Y243" s="110">
        <f t="shared" si="89"/>
        <v>316712.51999999996</v>
      </c>
      <c r="Z243" s="32"/>
      <c r="AA243" s="12">
        <f aca="true" t="shared" si="109" ref="AA243:AA285">Z243/L243</f>
        <v>0</v>
      </c>
      <c r="AB243" s="25">
        <f aca="true" t="shared" si="110" ref="AB243:AB285">L243+Z243</f>
        <v>845677.992</v>
      </c>
      <c r="AC243" s="166"/>
      <c r="AD243" s="8">
        <f t="shared" si="95"/>
        <v>845677.992</v>
      </c>
      <c r="AE243" s="167">
        <v>304452.16800000006</v>
      </c>
      <c r="AF243" s="168">
        <v>41024.9615837462</v>
      </c>
      <c r="AG243" s="168">
        <v>29448.204416253804</v>
      </c>
      <c r="AH243" s="168">
        <v>492299.5390049544</v>
      </c>
      <c r="AI243" s="168">
        <v>353378.45299504563</v>
      </c>
      <c r="AJ243" s="59"/>
      <c r="AK243" s="59"/>
      <c r="AL243" s="45">
        <v>9029.09</v>
      </c>
      <c r="AM243" s="45">
        <v>13100.72</v>
      </c>
      <c r="AN243" s="2">
        <v>9751.73</v>
      </c>
      <c r="AO243" s="2">
        <v>16134.99</v>
      </c>
      <c r="AP243" s="1">
        <v>17122.1</v>
      </c>
      <c r="AQ243" s="1">
        <v>42809.97</v>
      </c>
      <c r="AR243" s="24">
        <v>15509.09</v>
      </c>
      <c r="AS243" s="24">
        <v>14376.72</v>
      </c>
      <c r="AT243" s="1">
        <v>19215.75</v>
      </c>
      <c r="AU243" s="1">
        <v>13100.72</v>
      </c>
      <c r="AV243" s="24">
        <v>31612.75</v>
      </c>
      <c r="AW243" s="24">
        <v>13100.72</v>
      </c>
      <c r="AX243" s="45">
        <v>26020.21</v>
      </c>
      <c r="AY243" s="45">
        <v>13100.72</v>
      </c>
      <c r="AZ243" s="24">
        <v>20319.83</v>
      </c>
      <c r="BA243" s="24">
        <v>13100.72</v>
      </c>
      <c r="BB243" s="24">
        <v>43745.25</v>
      </c>
      <c r="BC243" s="24">
        <v>17886.35</v>
      </c>
      <c r="BD243" s="24">
        <v>9205.06</v>
      </c>
      <c r="BE243" s="24">
        <v>20994.5</v>
      </c>
      <c r="BF243" s="24">
        <v>21872.49</v>
      </c>
      <c r="BG243" s="24">
        <v>13100.72</v>
      </c>
      <c r="BH243" s="24">
        <v>17763.43</v>
      </c>
      <c r="BI243" s="24">
        <v>13100.72</v>
      </c>
      <c r="BJ243" s="9">
        <f t="shared" si="96"/>
        <v>241166.77999999997</v>
      </c>
      <c r="BK243" s="9">
        <f t="shared" si="97"/>
        <v>203907.57</v>
      </c>
      <c r="BL243" s="153">
        <f t="shared" si="98"/>
        <v>445074.35</v>
      </c>
      <c r="BM243" s="154"/>
      <c r="BN243" s="154"/>
      <c r="BO243" s="154"/>
      <c r="BP243" s="154"/>
      <c r="BQ243" s="154"/>
      <c r="BR243" s="155">
        <f t="shared" si="91"/>
        <v>445074.35</v>
      </c>
      <c r="BS243" s="198">
        <v>3380.12</v>
      </c>
      <c r="BT243" s="199">
        <v>4128</v>
      </c>
      <c r="BU243" s="20">
        <f t="shared" si="90"/>
        <v>403983.762</v>
      </c>
      <c r="BV243" s="231">
        <v>332018.16</v>
      </c>
      <c r="BW243" s="229"/>
      <c r="BX243" s="230"/>
    </row>
    <row r="244" spans="1:111" s="17" customFormat="1" ht="15.75">
      <c r="A244" s="1">
        <v>237</v>
      </c>
      <c r="B244" s="1" t="s">
        <v>222</v>
      </c>
      <c r="C244" s="1">
        <v>255.5</v>
      </c>
      <c r="D244" s="1">
        <v>0</v>
      </c>
      <c r="E244" s="1">
        <f t="shared" si="100"/>
        <v>255.5</v>
      </c>
      <c r="F244" s="2">
        <v>6.73</v>
      </c>
      <c r="G244" s="2">
        <f t="shared" si="92"/>
        <v>1719.515</v>
      </c>
      <c r="H244" s="2">
        <f t="shared" si="93"/>
        <v>10317.09</v>
      </c>
      <c r="I244" s="2">
        <f t="shared" si="101"/>
        <v>6.73</v>
      </c>
      <c r="J244" s="2">
        <f t="shared" si="102"/>
        <v>1719.515</v>
      </c>
      <c r="K244" s="2">
        <f t="shared" si="94"/>
        <v>10317.09</v>
      </c>
      <c r="L244" s="97">
        <f t="shared" si="99"/>
        <v>20634.18</v>
      </c>
      <c r="M244" s="109">
        <v>3.92</v>
      </c>
      <c r="N244" s="89">
        <f t="shared" si="103"/>
        <v>12018.72</v>
      </c>
      <c r="O244" s="64"/>
      <c r="P244" s="90">
        <f t="shared" si="104"/>
        <v>0</v>
      </c>
      <c r="Q244" s="64"/>
      <c r="R244" s="90">
        <f t="shared" si="105"/>
        <v>0</v>
      </c>
      <c r="S244" s="64"/>
      <c r="T244" s="91">
        <f t="shared" si="106"/>
        <v>0</v>
      </c>
      <c r="U244" s="64">
        <v>0</v>
      </c>
      <c r="V244" s="90">
        <f t="shared" si="107"/>
        <v>0</v>
      </c>
      <c r="W244" s="96">
        <v>3.01</v>
      </c>
      <c r="X244" s="91">
        <f t="shared" si="108"/>
        <v>9228.66</v>
      </c>
      <c r="Y244" s="110">
        <f aca="true" t="shared" si="111" ref="Y244:Y285">N244+P244+R244+T244+V244+X244</f>
        <v>21247.379999999997</v>
      </c>
      <c r="Z244" s="32">
        <v>-14515.61</v>
      </c>
      <c r="AA244" s="12">
        <f t="shared" si="109"/>
        <v>-0.7034740416144475</v>
      </c>
      <c r="AB244" s="25">
        <f t="shared" si="110"/>
        <v>6118.57</v>
      </c>
      <c r="AC244" s="44"/>
      <c r="AD244" s="8">
        <f t="shared" si="95"/>
        <v>6118.57</v>
      </c>
      <c r="AE244" s="167">
        <v>8339.52</v>
      </c>
      <c r="AF244" s="168">
        <v>0</v>
      </c>
      <c r="AG244" s="168">
        <v>509.8808333333333</v>
      </c>
      <c r="AH244" s="168">
        <v>0</v>
      </c>
      <c r="AI244" s="168">
        <v>6118.57</v>
      </c>
      <c r="AJ244" s="59" t="s">
        <v>296</v>
      </c>
      <c r="AK244" s="26" t="s">
        <v>352</v>
      </c>
      <c r="AL244" s="45">
        <v>0</v>
      </c>
      <c r="AM244" s="45">
        <v>656.64</v>
      </c>
      <c r="AN244" s="2">
        <v>0</v>
      </c>
      <c r="AO244" s="2">
        <v>656.64</v>
      </c>
      <c r="AP244" s="1">
        <v>0</v>
      </c>
      <c r="AQ244" s="1">
        <v>656.64</v>
      </c>
      <c r="AR244" s="24">
        <v>0</v>
      </c>
      <c r="AS244" s="24">
        <v>1355.14</v>
      </c>
      <c r="AT244" s="1">
        <v>0</v>
      </c>
      <c r="AU244" s="1">
        <v>656.64</v>
      </c>
      <c r="AV244" s="24">
        <v>0</v>
      </c>
      <c r="AW244" s="24">
        <v>656.64</v>
      </c>
      <c r="AX244" s="45">
        <v>0</v>
      </c>
      <c r="AY244" s="45">
        <v>656.64</v>
      </c>
      <c r="AZ244" s="24">
        <v>0</v>
      </c>
      <c r="BA244" s="24">
        <v>656.64</v>
      </c>
      <c r="BB244" s="24">
        <v>0</v>
      </c>
      <c r="BC244" s="24">
        <v>656.64</v>
      </c>
      <c r="BD244" s="24">
        <v>0</v>
      </c>
      <c r="BE244" s="24">
        <v>656.64</v>
      </c>
      <c r="BF244" s="24">
        <v>0</v>
      </c>
      <c r="BG244" s="24">
        <v>1482.64</v>
      </c>
      <c r="BH244" s="24">
        <v>0</v>
      </c>
      <c r="BI244" s="24">
        <v>656.64</v>
      </c>
      <c r="BJ244" s="9">
        <f t="shared" si="96"/>
        <v>0</v>
      </c>
      <c r="BK244" s="9">
        <f t="shared" si="97"/>
        <v>9404.18</v>
      </c>
      <c r="BL244" s="153">
        <f t="shared" si="98"/>
        <v>9404.18</v>
      </c>
      <c r="BM244" s="154"/>
      <c r="BN244" s="154"/>
      <c r="BO244" s="154"/>
      <c r="BP244" s="154"/>
      <c r="BQ244" s="154"/>
      <c r="BR244" s="155">
        <f t="shared" si="91"/>
        <v>9404.18</v>
      </c>
      <c r="BS244" s="198"/>
      <c r="BT244" s="199"/>
      <c r="BU244" s="20">
        <f aca="true" t="shared" si="112" ref="BU244:BU285">AB244-BR244+BS244</f>
        <v>-3285.6100000000006</v>
      </c>
      <c r="BV244" s="231">
        <v>307302.58</v>
      </c>
      <c r="BW244" s="229"/>
      <c r="BX244" s="230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</row>
    <row r="245" spans="1:111" s="17" customFormat="1" ht="15.75">
      <c r="A245" s="1">
        <v>238</v>
      </c>
      <c r="B245" s="1" t="s">
        <v>223</v>
      </c>
      <c r="C245" s="1">
        <v>480.7</v>
      </c>
      <c r="D245" s="1">
        <v>0</v>
      </c>
      <c r="E245" s="1">
        <f t="shared" si="100"/>
        <v>480.7</v>
      </c>
      <c r="F245" s="2">
        <v>13.78</v>
      </c>
      <c r="G245" s="2">
        <f t="shared" si="92"/>
        <v>6624.045999999999</v>
      </c>
      <c r="H245" s="2">
        <f t="shared" si="93"/>
        <v>39744.276</v>
      </c>
      <c r="I245" s="2">
        <f t="shared" si="101"/>
        <v>13.78</v>
      </c>
      <c r="J245" s="2">
        <f t="shared" si="102"/>
        <v>6624.045999999999</v>
      </c>
      <c r="K245" s="2">
        <f t="shared" si="94"/>
        <v>39744.276</v>
      </c>
      <c r="L245" s="97">
        <f t="shared" si="99"/>
        <v>79488.552</v>
      </c>
      <c r="M245" s="109">
        <v>3.92</v>
      </c>
      <c r="N245" s="89">
        <f t="shared" si="103"/>
        <v>22612.127999999997</v>
      </c>
      <c r="O245" s="64">
        <v>1.46</v>
      </c>
      <c r="P245" s="90">
        <f t="shared" si="104"/>
        <v>8421.864</v>
      </c>
      <c r="Q245" s="64"/>
      <c r="R245" s="90">
        <f t="shared" si="105"/>
        <v>0</v>
      </c>
      <c r="S245" s="64"/>
      <c r="T245" s="91">
        <f t="shared" si="106"/>
        <v>0</v>
      </c>
      <c r="U245" s="64">
        <v>0</v>
      </c>
      <c r="V245" s="90">
        <f t="shared" si="107"/>
        <v>0</v>
      </c>
      <c r="W245" s="96"/>
      <c r="X245" s="91">
        <f t="shared" si="108"/>
        <v>0</v>
      </c>
      <c r="Y245" s="110">
        <f t="shared" si="111"/>
        <v>31033.992</v>
      </c>
      <c r="Z245" s="32"/>
      <c r="AA245" s="12">
        <f t="shared" si="109"/>
        <v>0</v>
      </c>
      <c r="AB245" s="25">
        <f t="shared" si="110"/>
        <v>79488.552</v>
      </c>
      <c r="AC245" s="44"/>
      <c r="AD245" s="8">
        <f t="shared" si="95"/>
        <v>79488.552</v>
      </c>
      <c r="AE245" s="167">
        <v>31033.992000000002</v>
      </c>
      <c r="AF245" s="168">
        <v>3556.719587202296</v>
      </c>
      <c r="AG245" s="168">
        <v>3067.3264127977036</v>
      </c>
      <c r="AH245" s="168">
        <v>42680.63504642755</v>
      </c>
      <c r="AI245" s="168">
        <v>36807.91695357244</v>
      </c>
      <c r="AJ245" s="59"/>
      <c r="AK245" s="59"/>
      <c r="AL245" s="45">
        <v>865.26</v>
      </c>
      <c r="AM245" s="45">
        <v>1312.31</v>
      </c>
      <c r="AN245" s="2">
        <v>12119.28</v>
      </c>
      <c r="AO245" s="2">
        <v>2645.5</v>
      </c>
      <c r="AP245" s="1">
        <v>6325.7</v>
      </c>
      <c r="AQ245" s="1">
        <v>1312.31</v>
      </c>
      <c r="AR245" s="24">
        <v>865.26</v>
      </c>
      <c r="AS245" s="24">
        <v>2010.81</v>
      </c>
      <c r="AT245" s="1">
        <v>1610.35</v>
      </c>
      <c r="AU245" s="1">
        <v>1312.31</v>
      </c>
      <c r="AV245" s="24">
        <v>1610.35</v>
      </c>
      <c r="AW245" s="24">
        <v>1995.19</v>
      </c>
      <c r="AX245" s="45">
        <v>1610.35</v>
      </c>
      <c r="AY245" s="45">
        <v>1312.31</v>
      </c>
      <c r="AZ245" s="24">
        <v>1610.35</v>
      </c>
      <c r="BA245" s="24">
        <v>1312.31</v>
      </c>
      <c r="BB245" s="24">
        <v>3770.35</v>
      </c>
      <c r="BC245" s="24">
        <v>1312.31</v>
      </c>
      <c r="BD245" s="24">
        <v>865.26</v>
      </c>
      <c r="BE245" s="24">
        <v>4331.71</v>
      </c>
      <c r="BF245" s="24">
        <v>865.26</v>
      </c>
      <c r="BG245" s="24">
        <v>5859.71</v>
      </c>
      <c r="BH245" s="24">
        <v>865.26</v>
      </c>
      <c r="BI245" s="24">
        <v>4331.71</v>
      </c>
      <c r="BJ245" s="9">
        <f t="shared" si="96"/>
        <v>32983.02999999999</v>
      </c>
      <c r="BK245" s="9">
        <f t="shared" si="97"/>
        <v>29048.489999999998</v>
      </c>
      <c r="BL245" s="153">
        <f t="shared" si="98"/>
        <v>62031.51999999999</v>
      </c>
      <c r="BM245" s="154"/>
      <c r="BN245" s="154"/>
      <c r="BO245" s="154"/>
      <c r="BP245" s="154"/>
      <c r="BQ245" s="154"/>
      <c r="BR245" s="155">
        <f aca="true" t="shared" si="113" ref="BR245:BR285">BL245+BM245+BN245+BO245+BQ245+BP245</f>
        <v>62031.51999999999</v>
      </c>
      <c r="BS245" s="198">
        <v>350.11</v>
      </c>
      <c r="BT245" s="199"/>
      <c r="BU245" s="20">
        <f t="shared" si="112"/>
        <v>17807.142000000007</v>
      </c>
      <c r="BV245" s="231">
        <v>94454.98</v>
      </c>
      <c r="BW245" s="229"/>
      <c r="BX245" s="230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</row>
    <row r="246" spans="1:76" ht="15.75">
      <c r="A246" s="1">
        <v>239</v>
      </c>
      <c r="B246" s="1" t="s">
        <v>224</v>
      </c>
      <c r="C246" s="1">
        <v>789.9</v>
      </c>
      <c r="D246" s="1">
        <v>0</v>
      </c>
      <c r="E246" s="1">
        <f t="shared" si="100"/>
        <v>789.9</v>
      </c>
      <c r="F246" s="2">
        <v>13.85</v>
      </c>
      <c r="G246" s="2">
        <f t="shared" si="92"/>
        <v>10940.115</v>
      </c>
      <c r="H246" s="2">
        <f t="shared" si="93"/>
        <v>65640.69</v>
      </c>
      <c r="I246" s="2">
        <f t="shared" si="101"/>
        <v>13.85</v>
      </c>
      <c r="J246" s="2">
        <f t="shared" si="102"/>
        <v>10940.115</v>
      </c>
      <c r="K246" s="2">
        <f t="shared" si="94"/>
        <v>65640.69</v>
      </c>
      <c r="L246" s="97">
        <f t="shared" si="99"/>
        <v>131281.38</v>
      </c>
      <c r="M246" s="109">
        <v>3.92</v>
      </c>
      <c r="N246" s="89">
        <f t="shared" si="103"/>
        <v>37156.896</v>
      </c>
      <c r="O246" s="64">
        <v>1.46</v>
      </c>
      <c r="P246" s="90">
        <f t="shared" si="104"/>
        <v>13839.047999999999</v>
      </c>
      <c r="Q246" s="64"/>
      <c r="R246" s="90">
        <f t="shared" si="105"/>
        <v>0</v>
      </c>
      <c r="S246" s="64"/>
      <c r="T246" s="91">
        <f t="shared" si="106"/>
        <v>0</v>
      </c>
      <c r="U246" s="64">
        <v>0</v>
      </c>
      <c r="V246" s="90">
        <f t="shared" si="107"/>
        <v>0</v>
      </c>
      <c r="W246" s="96"/>
      <c r="X246" s="91">
        <f t="shared" si="108"/>
        <v>0</v>
      </c>
      <c r="Y246" s="110">
        <f t="shared" si="111"/>
        <v>50995.944</v>
      </c>
      <c r="Z246" s="32"/>
      <c r="AA246" s="12">
        <f t="shared" si="109"/>
        <v>0</v>
      </c>
      <c r="AB246" s="25">
        <f t="shared" si="110"/>
        <v>131281.38</v>
      </c>
      <c r="AC246" s="44"/>
      <c r="AD246" s="8">
        <f t="shared" si="95"/>
        <v>131281.38</v>
      </c>
      <c r="AE246" s="167">
        <v>50995.944</v>
      </c>
      <c r="AF246" s="168">
        <v>0</v>
      </c>
      <c r="AG246" s="168">
        <v>10940.115</v>
      </c>
      <c r="AH246" s="168">
        <v>0</v>
      </c>
      <c r="AI246" s="168">
        <v>131281.38</v>
      </c>
      <c r="AJ246" s="59"/>
      <c r="AK246" s="59"/>
      <c r="AL246" s="45">
        <v>0</v>
      </c>
      <c r="AM246" s="45">
        <v>5177.56</v>
      </c>
      <c r="AN246" s="2">
        <v>0</v>
      </c>
      <c r="AO246" s="2">
        <v>36841.12</v>
      </c>
      <c r="AP246" s="1">
        <v>0</v>
      </c>
      <c r="AQ246" s="1">
        <v>3578.25</v>
      </c>
      <c r="AR246" s="24">
        <v>0</v>
      </c>
      <c r="AS246" s="24">
        <v>4854.25</v>
      </c>
      <c r="AT246" s="1">
        <v>0</v>
      </c>
      <c r="AU246" s="1">
        <v>4802.59</v>
      </c>
      <c r="AV246" s="24">
        <v>0</v>
      </c>
      <c r="AW246" s="24">
        <v>4802.59</v>
      </c>
      <c r="AX246" s="45">
        <v>0</v>
      </c>
      <c r="AY246" s="45">
        <v>28571.6</v>
      </c>
      <c r="AZ246" s="24">
        <v>0</v>
      </c>
      <c r="BA246" s="24">
        <v>4802.59</v>
      </c>
      <c r="BB246" s="24">
        <v>0</v>
      </c>
      <c r="BC246" s="24">
        <v>10350.91</v>
      </c>
      <c r="BD246" s="24">
        <v>0</v>
      </c>
      <c r="BE246" s="24">
        <v>6597.65</v>
      </c>
      <c r="BF246" s="24">
        <v>0</v>
      </c>
      <c r="BG246" s="24">
        <v>12423.98</v>
      </c>
      <c r="BH246" s="24">
        <v>0</v>
      </c>
      <c r="BI246" s="24">
        <v>6597.65</v>
      </c>
      <c r="BJ246" s="9">
        <f t="shared" si="96"/>
        <v>0</v>
      </c>
      <c r="BK246" s="9">
        <f t="shared" si="97"/>
        <v>129400.73999999998</v>
      </c>
      <c r="BL246" s="153">
        <f t="shared" si="98"/>
        <v>129400.73999999998</v>
      </c>
      <c r="BM246" s="154"/>
      <c r="BN246" s="154"/>
      <c r="BO246" s="154"/>
      <c r="BP246" s="154"/>
      <c r="BQ246" s="154"/>
      <c r="BR246" s="155">
        <f t="shared" si="113"/>
        <v>129400.73999999998</v>
      </c>
      <c r="BS246" s="198">
        <v>576.63</v>
      </c>
      <c r="BT246" s="199"/>
      <c r="BU246" s="20">
        <f t="shared" si="112"/>
        <v>2457.2700000000286</v>
      </c>
      <c r="BV246" s="231">
        <v>37441.29</v>
      </c>
      <c r="BW246" s="229"/>
      <c r="BX246" s="230"/>
    </row>
    <row r="247" spans="1:76" ht="15.75">
      <c r="A247" s="1">
        <v>240</v>
      </c>
      <c r="B247" s="1" t="s">
        <v>225</v>
      </c>
      <c r="C247" s="1">
        <v>452.4</v>
      </c>
      <c r="D247" s="1">
        <v>0</v>
      </c>
      <c r="E247" s="1">
        <f t="shared" si="100"/>
        <v>452.4</v>
      </c>
      <c r="F247" s="2">
        <v>13.78</v>
      </c>
      <c r="G247" s="2">
        <f t="shared" si="92"/>
        <v>6234.071999999999</v>
      </c>
      <c r="H247" s="2">
        <f t="shared" si="93"/>
        <v>37404.43199999999</v>
      </c>
      <c r="I247" s="2">
        <f t="shared" si="101"/>
        <v>13.78</v>
      </c>
      <c r="J247" s="2">
        <f t="shared" si="102"/>
        <v>6234.071999999999</v>
      </c>
      <c r="K247" s="2">
        <f t="shared" si="94"/>
        <v>37404.43199999999</v>
      </c>
      <c r="L247" s="97">
        <f t="shared" si="99"/>
        <v>74808.86399999999</v>
      </c>
      <c r="M247" s="109">
        <v>3.92</v>
      </c>
      <c r="N247" s="89">
        <f t="shared" si="103"/>
        <v>21280.896</v>
      </c>
      <c r="O247" s="64">
        <v>1.46</v>
      </c>
      <c r="P247" s="90">
        <f t="shared" si="104"/>
        <v>7926.047999999999</v>
      </c>
      <c r="Q247" s="64"/>
      <c r="R247" s="90">
        <f t="shared" si="105"/>
        <v>0</v>
      </c>
      <c r="S247" s="64"/>
      <c r="T247" s="91">
        <f t="shared" si="106"/>
        <v>0</v>
      </c>
      <c r="U247" s="64">
        <v>0</v>
      </c>
      <c r="V247" s="90">
        <f t="shared" si="107"/>
        <v>0</v>
      </c>
      <c r="W247" s="96"/>
      <c r="X247" s="91">
        <f t="shared" si="108"/>
        <v>0</v>
      </c>
      <c r="Y247" s="110">
        <f t="shared" si="111"/>
        <v>29206.944</v>
      </c>
      <c r="Z247" s="32"/>
      <c r="AA247" s="12">
        <f t="shared" si="109"/>
        <v>0</v>
      </c>
      <c r="AB247" s="25">
        <f t="shared" si="110"/>
        <v>74808.86399999999</v>
      </c>
      <c r="AC247" s="44"/>
      <c r="AD247" s="8">
        <f t="shared" si="95"/>
        <v>74808.86399999999</v>
      </c>
      <c r="AE247" s="167">
        <v>31870.104</v>
      </c>
      <c r="AF247" s="168">
        <v>0</v>
      </c>
      <c r="AG247" s="168">
        <v>6234.071999999999</v>
      </c>
      <c r="AH247" s="168">
        <v>0</v>
      </c>
      <c r="AI247" s="168">
        <v>74808.86399999999</v>
      </c>
      <c r="AJ247" s="59"/>
      <c r="AK247" s="59"/>
      <c r="AL247" s="45">
        <v>0</v>
      </c>
      <c r="AM247" s="45">
        <v>2272.58</v>
      </c>
      <c r="AN247" s="2">
        <v>0</v>
      </c>
      <c r="AO247" s="2">
        <v>3605.77</v>
      </c>
      <c r="AP247" s="1">
        <v>0</v>
      </c>
      <c r="AQ247" s="1">
        <v>27598.36</v>
      </c>
      <c r="AR247" s="24">
        <v>0</v>
      </c>
      <c r="AS247" s="24">
        <v>4304.27</v>
      </c>
      <c r="AT247" s="1">
        <v>0</v>
      </c>
      <c r="AU247" s="1">
        <v>2971.47</v>
      </c>
      <c r="AV247" s="24">
        <v>0</v>
      </c>
      <c r="AW247" s="24">
        <v>2971.47</v>
      </c>
      <c r="AX247" s="45">
        <v>0</v>
      </c>
      <c r="AY247" s="45">
        <v>2971.47</v>
      </c>
      <c r="AZ247" s="24">
        <v>0</v>
      </c>
      <c r="BA247" s="24">
        <v>2971.47</v>
      </c>
      <c r="BB247" s="24">
        <v>0</v>
      </c>
      <c r="BC247" s="24">
        <v>2971.47</v>
      </c>
      <c r="BD247" s="24">
        <v>0</v>
      </c>
      <c r="BE247" s="24">
        <v>5291.98</v>
      </c>
      <c r="BF247" s="24">
        <v>0</v>
      </c>
      <c r="BG247" s="24">
        <v>8459.58</v>
      </c>
      <c r="BH247" s="24">
        <v>0</v>
      </c>
      <c r="BI247" s="24">
        <v>4035.82</v>
      </c>
      <c r="BJ247" s="9">
        <f t="shared" si="96"/>
        <v>0</v>
      </c>
      <c r="BK247" s="9">
        <f t="shared" si="97"/>
        <v>70425.71</v>
      </c>
      <c r="BL247" s="153">
        <f t="shared" si="98"/>
        <v>70425.71</v>
      </c>
      <c r="BM247" s="154"/>
      <c r="BN247" s="154"/>
      <c r="BO247" s="154"/>
      <c r="BP247" s="154"/>
      <c r="BQ247" s="154"/>
      <c r="BR247" s="155">
        <f t="shared" si="113"/>
        <v>70425.71</v>
      </c>
      <c r="BS247" s="198">
        <v>1316.63</v>
      </c>
      <c r="BT247" s="199"/>
      <c r="BU247" s="20">
        <f t="shared" si="112"/>
        <v>5699.783999999981</v>
      </c>
      <c r="BV247" s="231">
        <v>251476.28</v>
      </c>
      <c r="BW247" s="229"/>
      <c r="BX247" s="230"/>
    </row>
    <row r="248" spans="1:76" ht="15.75">
      <c r="A248" s="1">
        <v>241</v>
      </c>
      <c r="B248" s="1" t="s">
        <v>226</v>
      </c>
      <c r="C248" s="1">
        <v>818.6</v>
      </c>
      <c r="D248" s="1">
        <v>0</v>
      </c>
      <c r="E248" s="1">
        <f t="shared" si="100"/>
        <v>818.6</v>
      </c>
      <c r="F248" s="2">
        <v>13.85</v>
      </c>
      <c r="G248" s="2">
        <f t="shared" si="92"/>
        <v>11337.61</v>
      </c>
      <c r="H248" s="2">
        <f t="shared" si="93"/>
        <v>68025.66</v>
      </c>
      <c r="I248" s="2">
        <f t="shared" si="101"/>
        <v>13.85</v>
      </c>
      <c r="J248" s="2">
        <f t="shared" si="102"/>
        <v>11337.61</v>
      </c>
      <c r="K248" s="2">
        <f t="shared" si="94"/>
        <v>68025.66</v>
      </c>
      <c r="L248" s="97">
        <f t="shared" si="99"/>
        <v>136051.32</v>
      </c>
      <c r="M248" s="109">
        <v>3.92</v>
      </c>
      <c r="N248" s="89">
        <f t="shared" si="103"/>
        <v>38506.943999999996</v>
      </c>
      <c r="O248" s="64">
        <v>1.46</v>
      </c>
      <c r="P248" s="90">
        <f t="shared" si="104"/>
        <v>14341.872</v>
      </c>
      <c r="Q248" s="64"/>
      <c r="R248" s="90">
        <f t="shared" si="105"/>
        <v>0</v>
      </c>
      <c r="S248" s="64"/>
      <c r="T248" s="91">
        <f t="shared" si="106"/>
        <v>0</v>
      </c>
      <c r="U248" s="64">
        <v>0</v>
      </c>
      <c r="V248" s="90">
        <f t="shared" si="107"/>
        <v>0</v>
      </c>
      <c r="W248" s="96"/>
      <c r="X248" s="91">
        <f t="shared" si="108"/>
        <v>0</v>
      </c>
      <c r="Y248" s="110">
        <f t="shared" si="111"/>
        <v>52848.81599999999</v>
      </c>
      <c r="Z248" s="32">
        <v>-370715.99</v>
      </c>
      <c r="AA248" s="12">
        <f t="shared" si="109"/>
        <v>-2.724824647052303</v>
      </c>
      <c r="AB248" s="25">
        <f t="shared" si="110"/>
        <v>-234664.66999999998</v>
      </c>
      <c r="AC248" s="44"/>
      <c r="AD248" s="8">
        <f t="shared" si="95"/>
        <v>-234664.66999999998</v>
      </c>
      <c r="AE248" s="167">
        <v>26719.104</v>
      </c>
      <c r="AF248" s="168">
        <v>0</v>
      </c>
      <c r="AG248" s="168">
        <v>2226.592</v>
      </c>
      <c r="AH248" s="168">
        <v>0</v>
      </c>
      <c r="AI248" s="168">
        <v>26719.104</v>
      </c>
      <c r="AJ248" s="59" t="s">
        <v>296</v>
      </c>
      <c r="AK248" s="26" t="s">
        <v>352</v>
      </c>
      <c r="AL248" s="45">
        <v>0</v>
      </c>
      <c r="AM248" s="45">
        <v>2234.78</v>
      </c>
      <c r="AN248" s="2">
        <v>0</v>
      </c>
      <c r="AO248" s="2">
        <v>3567.97</v>
      </c>
      <c r="AP248" s="1">
        <v>0</v>
      </c>
      <c r="AQ248" s="1">
        <v>22788.1</v>
      </c>
      <c r="AR248" s="24">
        <v>0</v>
      </c>
      <c r="AS248" s="24">
        <v>4843.97</v>
      </c>
      <c r="AT248" s="1">
        <v>0</v>
      </c>
      <c r="AU248" s="1">
        <v>2234.78</v>
      </c>
      <c r="AV248" s="24">
        <v>0</v>
      </c>
      <c r="AW248" s="24">
        <v>2444.78</v>
      </c>
      <c r="AX248" s="45">
        <v>0</v>
      </c>
      <c r="AY248" s="45">
        <v>2234.78</v>
      </c>
      <c r="AZ248" s="24">
        <v>0</v>
      </c>
      <c r="BA248" s="24">
        <v>2234.78</v>
      </c>
      <c r="BB248" s="24">
        <v>0</v>
      </c>
      <c r="BC248" s="24">
        <v>2234.78</v>
      </c>
      <c r="BD248" s="24">
        <v>0</v>
      </c>
      <c r="BE248" s="24">
        <v>5254.18</v>
      </c>
      <c r="BF248" s="24">
        <v>0</v>
      </c>
      <c r="BG248" s="24">
        <v>8421.78</v>
      </c>
      <c r="BH248" s="24">
        <v>0</v>
      </c>
      <c r="BI248" s="24">
        <v>3998.02</v>
      </c>
      <c r="BJ248" s="9">
        <f t="shared" si="96"/>
        <v>0</v>
      </c>
      <c r="BK248" s="9">
        <f t="shared" si="97"/>
        <v>62492.69999999999</v>
      </c>
      <c r="BL248" s="153">
        <f t="shared" si="98"/>
        <v>62492.69999999999</v>
      </c>
      <c r="BM248" s="154"/>
      <c r="BN248" s="154"/>
      <c r="BO248" s="154"/>
      <c r="BP248" s="154"/>
      <c r="BQ248" s="154"/>
      <c r="BR248" s="155">
        <f t="shared" si="113"/>
        <v>62492.69999999999</v>
      </c>
      <c r="BS248" s="198">
        <v>2390.31</v>
      </c>
      <c r="BT248" s="199"/>
      <c r="BU248" s="20">
        <f t="shared" si="112"/>
        <v>-294767.06</v>
      </c>
      <c r="BV248" s="231">
        <v>266953.12</v>
      </c>
      <c r="BW248" s="229"/>
      <c r="BX248" s="230"/>
    </row>
    <row r="249" spans="1:111" s="17" customFormat="1" ht="15.75">
      <c r="A249" s="1">
        <v>242</v>
      </c>
      <c r="B249" s="1" t="s">
        <v>227</v>
      </c>
      <c r="C249" s="1">
        <v>458.3</v>
      </c>
      <c r="D249" s="1">
        <v>0</v>
      </c>
      <c r="E249" s="1">
        <f t="shared" si="100"/>
        <v>458.3</v>
      </c>
      <c r="F249" s="2">
        <v>13.78</v>
      </c>
      <c r="G249" s="2">
        <f t="shared" si="92"/>
        <v>6315.374</v>
      </c>
      <c r="H249" s="2">
        <f t="shared" si="93"/>
        <v>37892.244</v>
      </c>
      <c r="I249" s="2">
        <f t="shared" si="101"/>
        <v>13.78</v>
      </c>
      <c r="J249" s="2">
        <f t="shared" si="102"/>
        <v>6315.374</v>
      </c>
      <c r="K249" s="2">
        <f t="shared" si="94"/>
        <v>37892.244</v>
      </c>
      <c r="L249" s="97">
        <f t="shared" si="99"/>
        <v>75784.488</v>
      </c>
      <c r="M249" s="109">
        <v>3.92</v>
      </c>
      <c r="N249" s="89">
        <f t="shared" si="103"/>
        <v>21558.432</v>
      </c>
      <c r="O249" s="64">
        <v>1.46</v>
      </c>
      <c r="P249" s="90">
        <f t="shared" si="104"/>
        <v>8029.416000000001</v>
      </c>
      <c r="Q249" s="64"/>
      <c r="R249" s="90">
        <f t="shared" si="105"/>
        <v>0</v>
      </c>
      <c r="S249" s="64"/>
      <c r="T249" s="91">
        <f t="shared" si="106"/>
        <v>0</v>
      </c>
      <c r="U249" s="64">
        <v>2.52</v>
      </c>
      <c r="V249" s="90">
        <f t="shared" si="107"/>
        <v>13858.991999999998</v>
      </c>
      <c r="W249" s="96"/>
      <c r="X249" s="91">
        <f t="shared" si="108"/>
        <v>0</v>
      </c>
      <c r="Y249" s="110">
        <f t="shared" si="111"/>
        <v>43446.84</v>
      </c>
      <c r="Z249" s="32">
        <v>-117290.94</v>
      </c>
      <c r="AA249" s="12">
        <f t="shared" si="109"/>
        <v>-1.547690603913561</v>
      </c>
      <c r="AB249" s="25">
        <f t="shared" si="110"/>
        <v>-41506.452000000005</v>
      </c>
      <c r="AC249" s="44"/>
      <c r="AD249" s="8">
        <f t="shared" si="95"/>
        <v>-41506.452000000005</v>
      </c>
      <c r="AE249" s="167">
        <v>17718.912</v>
      </c>
      <c r="AF249" s="168">
        <v>0</v>
      </c>
      <c r="AG249" s="168">
        <v>1476.5759999999998</v>
      </c>
      <c r="AH249" s="168">
        <v>0</v>
      </c>
      <c r="AI249" s="168">
        <v>17718.911999999997</v>
      </c>
      <c r="AJ249" s="59" t="s">
        <v>296</v>
      </c>
      <c r="AK249" s="26" t="s">
        <v>352</v>
      </c>
      <c r="AL249" s="45">
        <v>0</v>
      </c>
      <c r="AM249" s="45">
        <v>1481.16</v>
      </c>
      <c r="AN249" s="2">
        <v>0</v>
      </c>
      <c r="AO249" s="2">
        <v>2814.35</v>
      </c>
      <c r="AP249" s="1">
        <v>0</v>
      </c>
      <c r="AQ249" s="1">
        <v>21606.8</v>
      </c>
      <c r="AR249" s="24">
        <v>0</v>
      </c>
      <c r="AS249" s="24">
        <v>3512.85</v>
      </c>
      <c r="AT249" s="1">
        <v>0</v>
      </c>
      <c r="AU249" s="1">
        <v>1481.16</v>
      </c>
      <c r="AV249" s="24">
        <v>0</v>
      </c>
      <c r="AW249" s="24">
        <v>1481.16</v>
      </c>
      <c r="AX249" s="45">
        <v>0</v>
      </c>
      <c r="AY249" s="45">
        <v>1481.16</v>
      </c>
      <c r="AZ249" s="24">
        <v>0</v>
      </c>
      <c r="BA249" s="24">
        <v>1481.16</v>
      </c>
      <c r="BB249" s="24">
        <v>0</v>
      </c>
      <c r="BC249" s="24">
        <v>1481.16</v>
      </c>
      <c r="BD249" s="24">
        <v>0</v>
      </c>
      <c r="BE249" s="24">
        <v>4500.56</v>
      </c>
      <c r="BF249" s="24">
        <v>0</v>
      </c>
      <c r="BG249" s="24">
        <v>7668.16</v>
      </c>
      <c r="BH249" s="24">
        <v>0</v>
      </c>
      <c r="BI249" s="24">
        <v>1481.16</v>
      </c>
      <c r="BJ249" s="9">
        <f t="shared" si="96"/>
        <v>0</v>
      </c>
      <c r="BK249" s="9">
        <f t="shared" si="97"/>
        <v>50470.84000000001</v>
      </c>
      <c r="BL249" s="153">
        <f t="shared" si="98"/>
        <v>50470.84000000001</v>
      </c>
      <c r="BM249" s="154"/>
      <c r="BN249" s="154"/>
      <c r="BO249" s="154"/>
      <c r="BP249" s="154"/>
      <c r="BQ249" s="154"/>
      <c r="BR249" s="155">
        <f t="shared" si="113"/>
        <v>50470.84000000001</v>
      </c>
      <c r="BS249" s="198">
        <v>1338.24</v>
      </c>
      <c r="BT249" s="199">
        <v>13836</v>
      </c>
      <c r="BU249" s="20">
        <f t="shared" si="112"/>
        <v>-90639.05200000001</v>
      </c>
      <c r="BV249" s="231">
        <v>205843.62</v>
      </c>
      <c r="BW249" s="229"/>
      <c r="BX249" s="230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</row>
    <row r="250" spans="1:76" ht="15.75">
      <c r="A250" s="1">
        <v>243</v>
      </c>
      <c r="B250" s="1" t="s">
        <v>228</v>
      </c>
      <c r="C250" s="1">
        <v>1522.4</v>
      </c>
      <c r="D250" s="1">
        <v>71.6</v>
      </c>
      <c r="E250" s="1">
        <f t="shared" si="100"/>
        <v>1594</v>
      </c>
      <c r="F250" s="2">
        <v>15.13</v>
      </c>
      <c r="G250" s="2">
        <f t="shared" si="92"/>
        <v>24117.22</v>
      </c>
      <c r="H250" s="2">
        <f t="shared" si="93"/>
        <v>144703.32</v>
      </c>
      <c r="I250" s="2">
        <f t="shared" si="101"/>
        <v>15.13</v>
      </c>
      <c r="J250" s="2">
        <f t="shared" si="102"/>
        <v>24117.22</v>
      </c>
      <c r="K250" s="2">
        <f t="shared" si="94"/>
        <v>144703.32</v>
      </c>
      <c r="L250" s="97">
        <f t="shared" si="99"/>
        <v>289406.64</v>
      </c>
      <c r="M250" s="109">
        <v>3.92</v>
      </c>
      <c r="N250" s="89">
        <f t="shared" si="103"/>
        <v>74981.76</v>
      </c>
      <c r="O250" s="64">
        <v>1.46</v>
      </c>
      <c r="P250" s="90">
        <f t="shared" si="104"/>
        <v>27926.879999999997</v>
      </c>
      <c r="Q250" s="64"/>
      <c r="R250" s="90">
        <f t="shared" si="105"/>
        <v>0</v>
      </c>
      <c r="S250" s="64"/>
      <c r="T250" s="91">
        <f t="shared" si="106"/>
        <v>0</v>
      </c>
      <c r="U250" s="64">
        <v>0.95</v>
      </c>
      <c r="V250" s="90">
        <f t="shared" si="107"/>
        <v>18171.6</v>
      </c>
      <c r="W250" s="96"/>
      <c r="X250" s="91">
        <f t="shared" si="108"/>
        <v>0</v>
      </c>
      <c r="Y250" s="110">
        <f t="shared" si="111"/>
        <v>121080.23999999999</v>
      </c>
      <c r="Z250" s="32"/>
      <c r="AA250" s="12">
        <f t="shared" si="109"/>
        <v>0</v>
      </c>
      <c r="AB250" s="25">
        <f t="shared" si="110"/>
        <v>289406.64</v>
      </c>
      <c r="AC250" s="44"/>
      <c r="AD250" s="8">
        <f t="shared" si="95"/>
        <v>289406.64</v>
      </c>
      <c r="AE250" s="167">
        <v>105649.272</v>
      </c>
      <c r="AF250" s="168">
        <v>13907.159070391297</v>
      </c>
      <c r="AG250" s="168">
        <v>10210.060929608704</v>
      </c>
      <c r="AH250" s="168">
        <v>166885.90884469557</v>
      </c>
      <c r="AI250" s="168">
        <v>122520.73115530446</v>
      </c>
      <c r="AJ250" s="59"/>
      <c r="AK250" s="59"/>
      <c r="AL250" s="45">
        <v>2868.66</v>
      </c>
      <c r="AM250" s="45">
        <v>4580.8</v>
      </c>
      <c r="AN250" s="2">
        <v>77268.66</v>
      </c>
      <c r="AO250" s="2">
        <v>5913.99</v>
      </c>
      <c r="AP250" s="1">
        <v>7178.49</v>
      </c>
      <c r="AQ250" s="1">
        <v>4580.8</v>
      </c>
      <c r="AR250" s="24">
        <v>17178.79</v>
      </c>
      <c r="AS250" s="24">
        <v>8127.17</v>
      </c>
      <c r="AT250" s="1">
        <v>5338.9</v>
      </c>
      <c r="AU250" s="1">
        <v>8138.5</v>
      </c>
      <c r="AV250" s="24">
        <v>5821.9</v>
      </c>
      <c r="AW250" s="24">
        <v>4580.8</v>
      </c>
      <c r="AX250" s="45">
        <v>6702.29</v>
      </c>
      <c r="AY250" s="45">
        <v>7066.62</v>
      </c>
      <c r="AZ250" s="24">
        <v>5338.9</v>
      </c>
      <c r="BA250" s="24">
        <v>12810.74</v>
      </c>
      <c r="BB250" s="24">
        <v>6202.9</v>
      </c>
      <c r="BC250" s="24">
        <v>9100.2</v>
      </c>
      <c r="BD250" s="24">
        <v>2868.66</v>
      </c>
      <c r="BE250" s="24">
        <v>7600.2</v>
      </c>
      <c r="BF250" s="24">
        <v>6106.34</v>
      </c>
      <c r="BG250" s="24">
        <v>9108.2</v>
      </c>
      <c r="BH250" s="24">
        <v>7487.29</v>
      </c>
      <c r="BI250" s="24">
        <v>6145.62</v>
      </c>
      <c r="BJ250" s="9">
        <f t="shared" si="96"/>
        <v>150361.78</v>
      </c>
      <c r="BK250" s="9">
        <f t="shared" si="97"/>
        <v>87753.64</v>
      </c>
      <c r="BL250" s="153">
        <f t="shared" si="98"/>
        <v>238115.41999999998</v>
      </c>
      <c r="BM250" s="154"/>
      <c r="BN250" s="154"/>
      <c r="BO250" s="154"/>
      <c r="BP250" s="154"/>
      <c r="BQ250" s="154"/>
      <c r="BR250" s="155">
        <f t="shared" si="113"/>
        <v>238115.41999999998</v>
      </c>
      <c r="BS250" s="198">
        <v>1163.4</v>
      </c>
      <c r="BT250" s="199">
        <v>4128</v>
      </c>
      <c r="BU250" s="20">
        <f t="shared" si="112"/>
        <v>52454.62000000003</v>
      </c>
      <c r="BV250" s="231">
        <v>620531.77</v>
      </c>
      <c r="BW250" s="229"/>
      <c r="BX250" s="230"/>
    </row>
    <row r="251" spans="1:76" ht="15.75">
      <c r="A251" s="1">
        <v>244</v>
      </c>
      <c r="B251" s="1" t="s">
        <v>229</v>
      </c>
      <c r="C251" s="1">
        <v>474.5</v>
      </c>
      <c r="D251" s="1">
        <v>0</v>
      </c>
      <c r="E251" s="1">
        <f t="shared" si="100"/>
        <v>474.5</v>
      </c>
      <c r="F251" s="2">
        <v>13.78</v>
      </c>
      <c r="G251" s="2">
        <f t="shared" si="92"/>
        <v>6538.61</v>
      </c>
      <c r="H251" s="2">
        <f t="shared" si="93"/>
        <v>39231.659999999996</v>
      </c>
      <c r="I251" s="2">
        <f t="shared" si="101"/>
        <v>13.78</v>
      </c>
      <c r="J251" s="2">
        <f t="shared" si="102"/>
        <v>6538.61</v>
      </c>
      <c r="K251" s="2">
        <f t="shared" si="94"/>
        <v>39231.659999999996</v>
      </c>
      <c r="L251" s="97">
        <f t="shared" si="99"/>
        <v>78463.31999999999</v>
      </c>
      <c r="M251" s="109">
        <v>3.92</v>
      </c>
      <c r="N251" s="89">
        <f t="shared" si="103"/>
        <v>22320.48</v>
      </c>
      <c r="O251" s="64">
        <v>1.46</v>
      </c>
      <c r="P251" s="90">
        <f t="shared" si="104"/>
        <v>8313.24</v>
      </c>
      <c r="Q251" s="64"/>
      <c r="R251" s="90">
        <f t="shared" si="105"/>
        <v>0</v>
      </c>
      <c r="S251" s="64"/>
      <c r="T251" s="91">
        <f t="shared" si="106"/>
        <v>0</v>
      </c>
      <c r="U251" s="64">
        <v>3.18</v>
      </c>
      <c r="V251" s="90">
        <f t="shared" si="107"/>
        <v>18106.920000000002</v>
      </c>
      <c r="W251" s="96"/>
      <c r="X251" s="91">
        <f t="shared" si="108"/>
        <v>0</v>
      </c>
      <c r="Y251" s="110">
        <f t="shared" si="111"/>
        <v>48740.64</v>
      </c>
      <c r="Z251" s="32"/>
      <c r="AA251" s="12">
        <f t="shared" si="109"/>
        <v>0</v>
      </c>
      <c r="AB251" s="25">
        <f t="shared" si="110"/>
        <v>78463.31999999999</v>
      </c>
      <c r="AC251" s="166"/>
      <c r="AD251" s="8">
        <f t="shared" si="95"/>
        <v>78463.31999999999</v>
      </c>
      <c r="AE251" s="167">
        <v>15461.568000000003</v>
      </c>
      <c r="AF251" s="168">
        <v>0</v>
      </c>
      <c r="AG251" s="168">
        <v>6538.61</v>
      </c>
      <c r="AH251" s="168">
        <v>0</v>
      </c>
      <c r="AI251" s="168">
        <v>78463.31999999999</v>
      </c>
      <c r="AJ251" s="59" t="s">
        <v>296</v>
      </c>
      <c r="AK251" s="59"/>
      <c r="AL251" s="45">
        <v>0</v>
      </c>
      <c r="AM251" s="45">
        <v>1295.39</v>
      </c>
      <c r="AN251" s="2">
        <v>0</v>
      </c>
      <c r="AO251" s="2">
        <v>2628.58</v>
      </c>
      <c r="AP251" s="1">
        <v>0</v>
      </c>
      <c r="AQ251" s="1">
        <v>42996.69</v>
      </c>
      <c r="AR251" s="24">
        <v>0</v>
      </c>
      <c r="AS251" s="24">
        <v>3327.08</v>
      </c>
      <c r="AT251" s="1">
        <v>0</v>
      </c>
      <c r="AU251" s="1">
        <v>1295.39</v>
      </c>
      <c r="AV251" s="24">
        <v>0</v>
      </c>
      <c r="AW251" s="24">
        <v>3076.22</v>
      </c>
      <c r="AX251" s="45">
        <v>0</v>
      </c>
      <c r="AY251" s="45">
        <v>1295.39</v>
      </c>
      <c r="AZ251" s="24">
        <v>0</v>
      </c>
      <c r="BA251" s="24">
        <v>1295.39</v>
      </c>
      <c r="BB251" s="24">
        <v>0</v>
      </c>
      <c r="BC251" s="24">
        <v>1295.39</v>
      </c>
      <c r="BD251" s="24">
        <v>0</v>
      </c>
      <c r="BE251" s="24">
        <v>31549.45</v>
      </c>
      <c r="BF251" s="24">
        <v>0</v>
      </c>
      <c r="BG251" s="24">
        <v>11950.06</v>
      </c>
      <c r="BH251" s="24">
        <v>0</v>
      </c>
      <c r="BI251" s="24">
        <v>12821.3</v>
      </c>
      <c r="BJ251" s="9">
        <f t="shared" si="96"/>
        <v>0</v>
      </c>
      <c r="BK251" s="9">
        <f t="shared" si="97"/>
        <v>114826.33</v>
      </c>
      <c r="BL251" s="153">
        <f t="shared" si="98"/>
        <v>114826.33</v>
      </c>
      <c r="BM251" s="154"/>
      <c r="BN251" s="154"/>
      <c r="BO251" s="154"/>
      <c r="BP251" s="154"/>
      <c r="BQ251" s="154"/>
      <c r="BR251" s="155">
        <f t="shared" si="113"/>
        <v>114826.33</v>
      </c>
      <c r="BS251" s="198">
        <v>1383.2</v>
      </c>
      <c r="BT251" s="199">
        <v>17964</v>
      </c>
      <c r="BU251" s="20">
        <f t="shared" si="112"/>
        <v>-34979.81000000001</v>
      </c>
      <c r="BV251" s="231">
        <v>96579.78</v>
      </c>
      <c r="BW251" s="229"/>
      <c r="BX251" s="230"/>
    </row>
    <row r="252" spans="1:76" ht="15.75">
      <c r="A252" s="1">
        <v>245</v>
      </c>
      <c r="B252" s="1" t="s">
        <v>230</v>
      </c>
      <c r="C252" s="1">
        <v>1093.5</v>
      </c>
      <c r="D252" s="1">
        <v>0</v>
      </c>
      <c r="E252" s="1">
        <f t="shared" si="100"/>
        <v>1093.5</v>
      </c>
      <c r="F252" s="2">
        <v>15.77</v>
      </c>
      <c r="G252" s="2">
        <f t="shared" si="92"/>
        <v>17244.495</v>
      </c>
      <c r="H252" s="2">
        <f t="shared" si="93"/>
        <v>103466.97</v>
      </c>
      <c r="I252" s="2">
        <f t="shared" si="101"/>
        <v>15.77</v>
      </c>
      <c r="J252" s="2">
        <f t="shared" si="102"/>
        <v>17244.495</v>
      </c>
      <c r="K252" s="2">
        <f t="shared" si="94"/>
        <v>103466.97</v>
      </c>
      <c r="L252" s="97">
        <f t="shared" si="99"/>
        <v>206933.94</v>
      </c>
      <c r="M252" s="109">
        <v>3.92</v>
      </c>
      <c r="N252" s="89">
        <f t="shared" si="103"/>
        <v>51438.23999999999</v>
      </c>
      <c r="O252" s="64">
        <v>1.46</v>
      </c>
      <c r="P252" s="90">
        <f t="shared" si="104"/>
        <v>19158.12</v>
      </c>
      <c r="Q252" s="64"/>
      <c r="R252" s="90">
        <f t="shared" si="105"/>
        <v>0</v>
      </c>
      <c r="S252" s="64"/>
      <c r="T252" s="91">
        <f t="shared" si="106"/>
        <v>0</v>
      </c>
      <c r="U252" s="64">
        <v>0</v>
      </c>
      <c r="V252" s="90">
        <f t="shared" si="107"/>
        <v>0</v>
      </c>
      <c r="W252" s="96"/>
      <c r="X252" s="91">
        <f t="shared" si="108"/>
        <v>0</v>
      </c>
      <c r="Y252" s="110">
        <f t="shared" si="111"/>
        <v>70596.35999999999</v>
      </c>
      <c r="Z252" s="32">
        <v>-187943.19</v>
      </c>
      <c r="AA252" s="12">
        <f t="shared" si="109"/>
        <v>-0.9082279591255065</v>
      </c>
      <c r="AB252" s="25">
        <f t="shared" si="110"/>
        <v>18990.75</v>
      </c>
      <c r="AC252" s="44"/>
      <c r="AD252" s="8">
        <f t="shared" si="95"/>
        <v>18990.75</v>
      </c>
      <c r="AE252" s="167">
        <v>38451.840000000004</v>
      </c>
      <c r="AF252" s="168">
        <v>911.6143433179724</v>
      </c>
      <c r="AG252" s="168">
        <v>670.9481566820276</v>
      </c>
      <c r="AH252" s="168">
        <v>10939.372119815669</v>
      </c>
      <c r="AI252" s="168">
        <v>8051.377880184331</v>
      </c>
      <c r="AJ252" s="59" t="s">
        <v>296</v>
      </c>
      <c r="AK252" s="26" t="s">
        <v>352</v>
      </c>
      <c r="AL252" s="45">
        <v>1675.09</v>
      </c>
      <c r="AM252" s="45">
        <v>3215.26</v>
      </c>
      <c r="AN252" s="2">
        <v>1649.97</v>
      </c>
      <c r="AO252" s="2">
        <v>3215.26</v>
      </c>
      <c r="AP252" s="1">
        <v>16370.13</v>
      </c>
      <c r="AQ252" s="1">
        <v>4592.19</v>
      </c>
      <c r="AR252" s="24">
        <v>438.75</v>
      </c>
      <c r="AS252" s="24">
        <v>5852.22</v>
      </c>
      <c r="AT252" s="1">
        <v>438.75</v>
      </c>
      <c r="AU252" s="1">
        <v>23304.35</v>
      </c>
      <c r="AV252" s="24">
        <v>0</v>
      </c>
      <c r="AW252" s="24">
        <v>13795.26</v>
      </c>
      <c r="AX252" s="45">
        <v>27313</v>
      </c>
      <c r="AY252" s="45">
        <v>3215.26</v>
      </c>
      <c r="AZ252" s="24">
        <v>0</v>
      </c>
      <c r="BA252" s="24">
        <v>16548.47</v>
      </c>
      <c r="BB252" s="24">
        <v>34028.72</v>
      </c>
      <c r="BC252" s="24">
        <v>12182.47</v>
      </c>
      <c r="BD252" s="24">
        <v>19864.93</v>
      </c>
      <c r="BE252" s="24">
        <v>20045.43</v>
      </c>
      <c r="BF252" s="24">
        <v>4269.18</v>
      </c>
      <c r="BG252" s="24">
        <v>3910.38</v>
      </c>
      <c r="BH252" s="24">
        <v>0</v>
      </c>
      <c r="BI252" s="24">
        <v>11251.43</v>
      </c>
      <c r="BJ252" s="9">
        <f t="shared" si="96"/>
        <v>106048.51999999999</v>
      </c>
      <c r="BK252" s="9">
        <f t="shared" si="97"/>
        <v>121127.98000000001</v>
      </c>
      <c r="BL252" s="153">
        <f t="shared" si="98"/>
        <v>227176.5</v>
      </c>
      <c r="BM252" s="154"/>
      <c r="BN252" s="154">
        <v>4721.8</v>
      </c>
      <c r="BO252" s="154"/>
      <c r="BP252" s="154"/>
      <c r="BQ252" s="154"/>
      <c r="BR252" s="155">
        <f t="shared" si="113"/>
        <v>231898.3</v>
      </c>
      <c r="BS252" s="198">
        <v>2394.55</v>
      </c>
      <c r="BT252" s="199"/>
      <c r="BU252" s="20">
        <f t="shared" si="112"/>
        <v>-210513</v>
      </c>
      <c r="BV252" s="231">
        <v>582433.67</v>
      </c>
      <c r="BW252" s="229"/>
      <c r="BX252" s="230"/>
    </row>
    <row r="253" spans="1:76" ht="15.75">
      <c r="A253" s="1">
        <v>246</v>
      </c>
      <c r="B253" s="1" t="s">
        <v>231</v>
      </c>
      <c r="C253" s="1">
        <v>1283.2</v>
      </c>
      <c r="D253" s="1">
        <v>0</v>
      </c>
      <c r="E253" s="1">
        <f t="shared" si="100"/>
        <v>1283.2</v>
      </c>
      <c r="F253" s="2">
        <v>15.77</v>
      </c>
      <c r="G253" s="2">
        <f t="shared" si="92"/>
        <v>20236.064</v>
      </c>
      <c r="H253" s="2">
        <f t="shared" si="93"/>
        <v>121416.38399999999</v>
      </c>
      <c r="I253" s="2">
        <f t="shared" si="101"/>
        <v>15.77</v>
      </c>
      <c r="J253" s="2">
        <f t="shared" si="102"/>
        <v>20236.064</v>
      </c>
      <c r="K253" s="2">
        <f t="shared" si="94"/>
        <v>121416.38399999999</v>
      </c>
      <c r="L253" s="97">
        <f t="shared" si="99"/>
        <v>242832.76799999998</v>
      </c>
      <c r="M253" s="109">
        <v>3.92</v>
      </c>
      <c r="N253" s="89">
        <f t="shared" si="103"/>
        <v>60361.728</v>
      </c>
      <c r="O253" s="64">
        <v>1.46</v>
      </c>
      <c r="P253" s="90">
        <f t="shared" si="104"/>
        <v>22481.664</v>
      </c>
      <c r="Q253" s="64"/>
      <c r="R253" s="90">
        <f t="shared" si="105"/>
        <v>0</v>
      </c>
      <c r="S253" s="64"/>
      <c r="T253" s="91">
        <f t="shared" si="106"/>
        <v>0</v>
      </c>
      <c r="U253" s="64">
        <v>0.27</v>
      </c>
      <c r="V253" s="90">
        <f t="shared" si="107"/>
        <v>4157.568000000001</v>
      </c>
      <c r="W253" s="96"/>
      <c r="X253" s="91">
        <f t="shared" si="108"/>
        <v>0</v>
      </c>
      <c r="Y253" s="110">
        <f t="shared" si="111"/>
        <v>87000.96</v>
      </c>
      <c r="Z253" s="32"/>
      <c r="AA253" s="12">
        <f t="shared" si="109"/>
        <v>0</v>
      </c>
      <c r="AB253" s="25">
        <f t="shared" si="110"/>
        <v>242832.76799999998</v>
      </c>
      <c r="AC253" s="44"/>
      <c r="AD253" s="8">
        <f t="shared" si="95"/>
        <v>242832.76799999998</v>
      </c>
      <c r="AE253" s="167">
        <v>85603.392</v>
      </c>
      <c r="AF253" s="168">
        <v>11198.98742216132</v>
      </c>
      <c r="AG253" s="168">
        <v>9037.076577838678</v>
      </c>
      <c r="AH253" s="168">
        <v>134387.84906593585</v>
      </c>
      <c r="AI253" s="168">
        <v>108444.91893406413</v>
      </c>
      <c r="AJ253" s="59"/>
      <c r="AK253" s="59"/>
      <c r="AL253" s="45">
        <v>7620.96</v>
      </c>
      <c r="AM253" s="45">
        <v>24268.39</v>
      </c>
      <c r="AN253" s="2">
        <v>12447.97</v>
      </c>
      <c r="AO253" s="2">
        <v>3733.14</v>
      </c>
      <c r="AP253" s="1">
        <v>15208.26</v>
      </c>
      <c r="AQ253" s="1">
        <v>5692.87</v>
      </c>
      <c r="AR253" s="24">
        <v>3379.74</v>
      </c>
      <c r="AS253" s="24">
        <v>14807.62</v>
      </c>
      <c r="AT253" s="1">
        <v>14952.44</v>
      </c>
      <c r="AU253" s="1">
        <v>6148.66</v>
      </c>
      <c r="AV253" s="24">
        <v>17582.51</v>
      </c>
      <c r="AW253" s="24">
        <v>14313.14</v>
      </c>
      <c r="AX253" s="45">
        <v>7605.62</v>
      </c>
      <c r="AY253" s="45">
        <v>3733.14</v>
      </c>
      <c r="AZ253" s="24">
        <v>8238.13</v>
      </c>
      <c r="BA253" s="24">
        <v>3733.14</v>
      </c>
      <c r="BB253" s="24">
        <v>10696.58</v>
      </c>
      <c r="BC253" s="24">
        <v>10596.64</v>
      </c>
      <c r="BD253" s="24">
        <v>2502.24</v>
      </c>
      <c r="BE253" s="24">
        <v>10631.8</v>
      </c>
      <c r="BF253" s="24">
        <v>8471.68</v>
      </c>
      <c r="BG253" s="24">
        <v>25214.11</v>
      </c>
      <c r="BH253" s="24">
        <v>7569.55</v>
      </c>
      <c r="BI253" s="24">
        <v>5032.14</v>
      </c>
      <c r="BJ253" s="9">
        <f t="shared" si="96"/>
        <v>116275.68000000001</v>
      </c>
      <c r="BK253" s="9">
        <f t="shared" si="97"/>
        <v>127904.79000000001</v>
      </c>
      <c r="BL253" s="153">
        <f t="shared" si="98"/>
        <v>244180.47000000003</v>
      </c>
      <c r="BM253" s="154"/>
      <c r="BN253" s="154"/>
      <c r="BO253" s="154"/>
      <c r="BP253" s="154"/>
      <c r="BQ253" s="154"/>
      <c r="BR253" s="155">
        <f t="shared" si="113"/>
        <v>244180.47000000003</v>
      </c>
      <c r="BS253" s="198">
        <v>2809.99</v>
      </c>
      <c r="BT253" s="199">
        <v>4128</v>
      </c>
      <c r="BU253" s="20">
        <f t="shared" si="112"/>
        <v>1462.2879999999514</v>
      </c>
      <c r="BV253" s="231">
        <v>1087439.48</v>
      </c>
      <c r="BW253" s="229"/>
      <c r="BX253" s="230"/>
    </row>
    <row r="254" spans="1:76" ht="15.75">
      <c r="A254" s="1">
        <v>247</v>
      </c>
      <c r="B254" s="1" t="s">
        <v>232</v>
      </c>
      <c r="C254" s="1">
        <v>946.5</v>
      </c>
      <c r="D254" s="1">
        <v>0</v>
      </c>
      <c r="E254" s="1">
        <f t="shared" si="100"/>
        <v>946.5</v>
      </c>
      <c r="F254" s="2">
        <v>15.77</v>
      </c>
      <c r="G254" s="2">
        <f t="shared" si="92"/>
        <v>14926.305</v>
      </c>
      <c r="H254" s="2">
        <f t="shared" si="93"/>
        <v>89557.83</v>
      </c>
      <c r="I254" s="2">
        <f t="shared" si="101"/>
        <v>15.77</v>
      </c>
      <c r="J254" s="2">
        <f t="shared" si="102"/>
        <v>14926.305</v>
      </c>
      <c r="K254" s="2">
        <f t="shared" si="94"/>
        <v>89557.83</v>
      </c>
      <c r="L254" s="97">
        <f t="shared" si="99"/>
        <v>179115.66</v>
      </c>
      <c r="M254" s="109">
        <v>3.92</v>
      </c>
      <c r="N254" s="89">
        <f t="shared" si="103"/>
        <v>44523.36</v>
      </c>
      <c r="O254" s="64">
        <v>1.46</v>
      </c>
      <c r="P254" s="90">
        <f t="shared" si="104"/>
        <v>16582.68</v>
      </c>
      <c r="Q254" s="64"/>
      <c r="R254" s="90">
        <f t="shared" si="105"/>
        <v>0</v>
      </c>
      <c r="S254" s="64"/>
      <c r="T254" s="91">
        <f t="shared" si="106"/>
        <v>0</v>
      </c>
      <c r="U254" s="64">
        <v>0.36</v>
      </c>
      <c r="V254" s="90">
        <f t="shared" si="107"/>
        <v>4088.88</v>
      </c>
      <c r="W254" s="96"/>
      <c r="X254" s="91">
        <f t="shared" si="108"/>
        <v>0</v>
      </c>
      <c r="Y254" s="110">
        <f t="shared" si="111"/>
        <v>65194.92</v>
      </c>
      <c r="Z254" s="32">
        <v>-181236.24</v>
      </c>
      <c r="AA254" s="12">
        <f t="shared" si="109"/>
        <v>-1.0118391658216819</v>
      </c>
      <c r="AB254" s="25">
        <f t="shared" si="110"/>
        <v>-2120.579999999987</v>
      </c>
      <c r="AC254" s="44"/>
      <c r="AD254" s="8">
        <f t="shared" si="95"/>
        <v>-2120.579999999987</v>
      </c>
      <c r="AE254" s="167">
        <v>33653.76</v>
      </c>
      <c r="AF254" s="168">
        <v>549.2021123568508</v>
      </c>
      <c r="AG254" s="168">
        <v>2255.27788764315</v>
      </c>
      <c r="AH254" s="168">
        <v>6590.42534828221</v>
      </c>
      <c r="AI254" s="168">
        <v>27063.3346517178</v>
      </c>
      <c r="AJ254" s="59" t="s">
        <v>296</v>
      </c>
      <c r="AK254" s="26" t="s">
        <v>352</v>
      </c>
      <c r="AL254" s="45">
        <v>15401.61</v>
      </c>
      <c r="AM254" s="45">
        <v>27785.1</v>
      </c>
      <c r="AN254" s="2">
        <v>3053.47</v>
      </c>
      <c r="AO254" s="2">
        <v>4985.91</v>
      </c>
      <c r="AP254" s="1">
        <v>3274.69</v>
      </c>
      <c r="AQ254" s="1">
        <v>2813.95</v>
      </c>
      <c r="AR254" s="24">
        <v>0</v>
      </c>
      <c r="AS254" s="24">
        <v>6750.94</v>
      </c>
      <c r="AT254" s="1">
        <v>2924.63</v>
      </c>
      <c r="AU254" s="1">
        <v>5229.47</v>
      </c>
      <c r="AV254" s="24">
        <v>2275</v>
      </c>
      <c r="AW254" s="24">
        <v>23973.95</v>
      </c>
      <c r="AX254" s="45">
        <v>9670.49</v>
      </c>
      <c r="AY254" s="45">
        <v>36115.49</v>
      </c>
      <c r="AZ254" s="24">
        <v>0</v>
      </c>
      <c r="BA254" s="24">
        <v>4190.61</v>
      </c>
      <c r="BB254" s="24">
        <v>5050.63</v>
      </c>
      <c r="BC254" s="24">
        <v>4917.83</v>
      </c>
      <c r="BD254" s="24">
        <v>2843.41</v>
      </c>
      <c r="BE254" s="24">
        <v>6065.78</v>
      </c>
      <c r="BF254" s="24">
        <v>3055.18</v>
      </c>
      <c r="BG254" s="24">
        <v>5899.71</v>
      </c>
      <c r="BH254" s="24">
        <v>14331.47</v>
      </c>
      <c r="BI254" s="24">
        <v>25247.11</v>
      </c>
      <c r="BJ254" s="9">
        <f t="shared" si="96"/>
        <v>61880.579999999994</v>
      </c>
      <c r="BK254" s="9">
        <f t="shared" si="97"/>
        <v>153975.85</v>
      </c>
      <c r="BL254" s="153">
        <f t="shared" si="98"/>
        <v>215856.43</v>
      </c>
      <c r="BM254" s="154"/>
      <c r="BN254" s="154"/>
      <c r="BO254" s="154"/>
      <c r="BP254" s="154"/>
      <c r="BQ254" s="154"/>
      <c r="BR254" s="155">
        <f t="shared" si="113"/>
        <v>215856.43</v>
      </c>
      <c r="BS254" s="198">
        <v>2072.84</v>
      </c>
      <c r="BT254" s="199">
        <v>4128</v>
      </c>
      <c r="BU254" s="20">
        <f t="shared" si="112"/>
        <v>-215904.16999999998</v>
      </c>
      <c r="BV254" s="231">
        <v>520291.98</v>
      </c>
      <c r="BW254" s="229"/>
      <c r="BX254" s="230"/>
    </row>
    <row r="255" spans="1:76" ht="15.75">
      <c r="A255" s="1">
        <v>248</v>
      </c>
      <c r="B255" s="1" t="s">
        <v>233</v>
      </c>
      <c r="C255" s="1">
        <v>525.5</v>
      </c>
      <c r="D255" s="1">
        <v>0</v>
      </c>
      <c r="E255" s="1">
        <f t="shared" si="100"/>
        <v>525.5</v>
      </c>
      <c r="F255" s="2">
        <v>13.89</v>
      </c>
      <c r="G255" s="2">
        <f t="shared" si="92"/>
        <v>7299.195000000001</v>
      </c>
      <c r="H255" s="2">
        <f t="shared" si="93"/>
        <v>43795.170000000006</v>
      </c>
      <c r="I255" s="2">
        <f t="shared" si="101"/>
        <v>13.89</v>
      </c>
      <c r="J255" s="2">
        <f t="shared" si="102"/>
        <v>7299.195000000001</v>
      </c>
      <c r="K255" s="2">
        <f t="shared" si="94"/>
        <v>43795.170000000006</v>
      </c>
      <c r="L255" s="97">
        <f t="shared" si="99"/>
        <v>87590.34000000001</v>
      </c>
      <c r="M255" s="109">
        <v>3.92</v>
      </c>
      <c r="N255" s="89">
        <f t="shared" si="103"/>
        <v>24719.52</v>
      </c>
      <c r="O255" s="64">
        <v>1.46</v>
      </c>
      <c r="P255" s="90">
        <f t="shared" si="104"/>
        <v>9206.76</v>
      </c>
      <c r="Q255" s="64"/>
      <c r="R255" s="90">
        <f t="shared" si="105"/>
        <v>0</v>
      </c>
      <c r="S255" s="64"/>
      <c r="T255" s="91">
        <f t="shared" si="106"/>
        <v>0</v>
      </c>
      <c r="U255" s="64">
        <v>0</v>
      </c>
      <c r="V255" s="90">
        <f t="shared" si="107"/>
        <v>0</v>
      </c>
      <c r="W255" s="96"/>
      <c r="X255" s="91">
        <f t="shared" si="108"/>
        <v>0</v>
      </c>
      <c r="Y255" s="110">
        <f t="shared" si="111"/>
        <v>33926.28</v>
      </c>
      <c r="Z255" s="32"/>
      <c r="AA255" s="12">
        <f t="shared" si="109"/>
        <v>0</v>
      </c>
      <c r="AB255" s="25">
        <f t="shared" si="110"/>
        <v>87590.34000000001</v>
      </c>
      <c r="AC255" s="44"/>
      <c r="AD255" s="8">
        <f t="shared" si="95"/>
        <v>87590.34000000001</v>
      </c>
      <c r="AE255" s="167">
        <v>19912.32</v>
      </c>
      <c r="AF255" s="168">
        <v>3915.713984375001</v>
      </c>
      <c r="AG255" s="168">
        <v>3383.481015625</v>
      </c>
      <c r="AH255" s="168">
        <v>46988.56781250001</v>
      </c>
      <c r="AI255" s="168">
        <v>40601.7721875</v>
      </c>
      <c r="AJ255" s="59" t="s">
        <v>296</v>
      </c>
      <c r="AK255" s="59"/>
      <c r="AL255" s="45">
        <v>3752.01</v>
      </c>
      <c r="AM255" s="45">
        <v>1664.62</v>
      </c>
      <c r="AN255" s="2">
        <v>1211.22</v>
      </c>
      <c r="AO255" s="2">
        <v>1664.62</v>
      </c>
      <c r="AP255" s="1">
        <v>0</v>
      </c>
      <c r="AQ255" s="1">
        <v>4697.82</v>
      </c>
      <c r="AR255" s="24">
        <v>0</v>
      </c>
      <c r="AS255" s="24">
        <v>2363.12</v>
      </c>
      <c r="AT255" s="1">
        <v>0</v>
      </c>
      <c r="AU255" s="1">
        <v>4885.73</v>
      </c>
      <c r="AV255" s="24">
        <v>19004.29</v>
      </c>
      <c r="AW255" s="24">
        <v>1664.62</v>
      </c>
      <c r="AX255" s="45">
        <v>4702.27</v>
      </c>
      <c r="AY255" s="45">
        <v>1664.62</v>
      </c>
      <c r="AZ255" s="24">
        <v>0</v>
      </c>
      <c r="BA255" s="24">
        <v>1664.62</v>
      </c>
      <c r="BB255" s="24">
        <v>0</v>
      </c>
      <c r="BC255" s="24">
        <v>2353.01</v>
      </c>
      <c r="BD255" s="24">
        <v>0</v>
      </c>
      <c r="BE255" s="24">
        <v>1664.62</v>
      </c>
      <c r="BF255" s="24">
        <v>17081.47</v>
      </c>
      <c r="BG255" s="24">
        <v>31155.47</v>
      </c>
      <c r="BH255" s="24">
        <v>1364.44</v>
      </c>
      <c r="BI255" s="24">
        <v>1664.62</v>
      </c>
      <c r="BJ255" s="9">
        <f t="shared" si="96"/>
        <v>47115.700000000004</v>
      </c>
      <c r="BK255" s="9">
        <f t="shared" si="97"/>
        <v>57107.49</v>
      </c>
      <c r="BL255" s="153">
        <f t="shared" si="98"/>
        <v>104223.19</v>
      </c>
      <c r="BM255" s="154"/>
      <c r="BN255" s="154"/>
      <c r="BO255" s="154"/>
      <c r="BP255" s="154"/>
      <c r="BQ255" s="154"/>
      <c r="BR255" s="155">
        <f t="shared" si="113"/>
        <v>104223.19</v>
      </c>
      <c r="BS255" s="198"/>
      <c r="BT255" s="199"/>
      <c r="BU255" s="20">
        <f t="shared" si="112"/>
        <v>-16632.84999999999</v>
      </c>
      <c r="BV255" s="231">
        <v>299474.07</v>
      </c>
      <c r="BW255" s="229"/>
      <c r="BX255" s="230"/>
    </row>
    <row r="256" spans="1:76" ht="15.75">
      <c r="A256" s="1">
        <v>249</v>
      </c>
      <c r="B256" s="1" t="s">
        <v>234</v>
      </c>
      <c r="C256" s="1">
        <v>4897.4</v>
      </c>
      <c r="D256" s="1">
        <v>0</v>
      </c>
      <c r="E256" s="1">
        <f t="shared" si="100"/>
        <v>4897.4</v>
      </c>
      <c r="F256" s="2">
        <v>15.87</v>
      </c>
      <c r="G256" s="2">
        <f t="shared" si="92"/>
        <v>77721.738</v>
      </c>
      <c r="H256" s="2">
        <f t="shared" si="93"/>
        <v>466330.42799999996</v>
      </c>
      <c r="I256" s="2">
        <f t="shared" si="101"/>
        <v>15.87</v>
      </c>
      <c r="J256" s="2">
        <f t="shared" si="102"/>
        <v>77721.738</v>
      </c>
      <c r="K256" s="2">
        <f t="shared" si="94"/>
        <v>466330.42799999996</v>
      </c>
      <c r="L256" s="97">
        <f t="shared" si="99"/>
        <v>932660.8559999999</v>
      </c>
      <c r="M256" s="109">
        <v>3.92</v>
      </c>
      <c r="N256" s="89">
        <f t="shared" si="103"/>
        <v>230373.69599999997</v>
      </c>
      <c r="O256" s="64">
        <v>1.46</v>
      </c>
      <c r="P256" s="90">
        <f t="shared" si="104"/>
        <v>85802.448</v>
      </c>
      <c r="Q256" s="64"/>
      <c r="R256" s="90">
        <f t="shared" si="105"/>
        <v>0</v>
      </c>
      <c r="S256" s="64"/>
      <c r="T256" s="91">
        <f t="shared" si="106"/>
        <v>0</v>
      </c>
      <c r="U256" s="64">
        <v>0.38</v>
      </c>
      <c r="V256" s="90">
        <f t="shared" si="107"/>
        <v>22332.144</v>
      </c>
      <c r="W256" s="96"/>
      <c r="X256" s="91">
        <f t="shared" si="108"/>
        <v>0</v>
      </c>
      <c r="Y256" s="110">
        <f t="shared" si="111"/>
        <v>338508.28799999994</v>
      </c>
      <c r="Z256" s="32">
        <v>-297531.28</v>
      </c>
      <c r="AA256" s="12">
        <f t="shared" si="109"/>
        <v>-0.31901336706254996</v>
      </c>
      <c r="AB256" s="25">
        <f t="shared" si="110"/>
        <v>635129.5759999999</v>
      </c>
      <c r="AC256" s="44"/>
      <c r="AD256" s="8">
        <f t="shared" si="95"/>
        <v>635129.5759999999</v>
      </c>
      <c r="AE256" s="167">
        <v>318936.144</v>
      </c>
      <c r="AF256" s="168">
        <v>0</v>
      </c>
      <c r="AG256" s="168">
        <v>52927.46466666666</v>
      </c>
      <c r="AH256" s="168">
        <v>0</v>
      </c>
      <c r="AI256" s="168">
        <v>635129.5759999999</v>
      </c>
      <c r="AJ256" s="59"/>
      <c r="AK256" s="26" t="s">
        <v>352</v>
      </c>
      <c r="AL256" s="45">
        <v>0</v>
      </c>
      <c r="AM256" s="45">
        <v>148481.24</v>
      </c>
      <c r="AN256" s="2">
        <v>0</v>
      </c>
      <c r="AO256" s="2">
        <v>30361.94</v>
      </c>
      <c r="AP256" s="1">
        <v>0</v>
      </c>
      <c r="AQ256" s="1">
        <v>38485.32</v>
      </c>
      <c r="AR256" s="24">
        <v>0</v>
      </c>
      <c r="AS256" s="24">
        <v>42130.58</v>
      </c>
      <c r="AT256" s="1">
        <v>0</v>
      </c>
      <c r="AU256" s="1">
        <v>47268.23</v>
      </c>
      <c r="AV256" s="24">
        <v>0</v>
      </c>
      <c r="AW256" s="24">
        <v>47068.48</v>
      </c>
      <c r="AX256" s="45">
        <v>0</v>
      </c>
      <c r="AY256" s="45">
        <v>84367.7</v>
      </c>
      <c r="AZ256" s="24">
        <v>0</v>
      </c>
      <c r="BA256" s="24">
        <v>54247.82</v>
      </c>
      <c r="BB256" s="24">
        <v>0</v>
      </c>
      <c r="BC256" s="24">
        <v>60364.3</v>
      </c>
      <c r="BD256" s="24">
        <v>0</v>
      </c>
      <c r="BE256" s="24">
        <v>33949.81</v>
      </c>
      <c r="BF256" s="24">
        <v>0</v>
      </c>
      <c r="BG256" s="24">
        <v>48260.86</v>
      </c>
      <c r="BH256" s="24">
        <v>0</v>
      </c>
      <c r="BI256" s="24">
        <v>55822.33</v>
      </c>
      <c r="BJ256" s="9">
        <f t="shared" si="96"/>
        <v>0</v>
      </c>
      <c r="BK256" s="9">
        <f t="shared" si="97"/>
        <v>690808.6099999999</v>
      </c>
      <c r="BL256" s="153">
        <f t="shared" si="98"/>
        <v>690808.6099999999</v>
      </c>
      <c r="BM256" s="154">
        <f>35140+7140</f>
        <v>42280</v>
      </c>
      <c r="BN256" s="154">
        <v>129600.1</v>
      </c>
      <c r="BO256" s="154"/>
      <c r="BP256" s="154"/>
      <c r="BQ256" s="154"/>
      <c r="BR256" s="155">
        <f t="shared" si="113"/>
        <v>862688.7099999998</v>
      </c>
      <c r="BS256" s="198">
        <v>7149.77</v>
      </c>
      <c r="BT256" s="199">
        <v>4128</v>
      </c>
      <c r="BU256" s="20">
        <f t="shared" si="112"/>
        <v>-220409.36399999997</v>
      </c>
      <c r="BV256" s="231">
        <v>139178.94</v>
      </c>
      <c r="BW256" s="229"/>
      <c r="BX256" s="230"/>
    </row>
    <row r="257" spans="1:76" ht="15.75">
      <c r="A257" s="1">
        <v>250</v>
      </c>
      <c r="B257" s="1" t="s">
        <v>235</v>
      </c>
      <c r="C257" s="1">
        <v>1266.4</v>
      </c>
      <c r="D257" s="1">
        <v>0</v>
      </c>
      <c r="E257" s="1">
        <f t="shared" si="100"/>
        <v>1266.4</v>
      </c>
      <c r="F257" s="2">
        <v>15.76</v>
      </c>
      <c r="G257" s="2">
        <f t="shared" si="92"/>
        <v>19958.464</v>
      </c>
      <c r="H257" s="2">
        <f t="shared" si="93"/>
        <v>119750.784</v>
      </c>
      <c r="I257" s="2">
        <f t="shared" si="101"/>
        <v>15.76</v>
      </c>
      <c r="J257" s="2">
        <f t="shared" si="102"/>
        <v>19958.464</v>
      </c>
      <c r="K257" s="2">
        <f t="shared" si="94"/>
        <v>119750.784</v>
      </c>
      <c r="L257" s="97">
        <f t="shared" si="99"/>
        <v>239501.568</v>
      </c>
      <c r="M257" s="109">
        <v>3.92</v>
      </c>
      <c r="N257" s="89">
        <f t="shared" si="103"/>
        <v>59571.456000000006</v>
      </c>
      <c r="O257" s="64">
        <v>1.46</v>
      </c>
      <c r="P257" s="90">
        <f t="shared" si="104"/>
        <v>22187.328</v>
      </c>
      <c r="Q257" s="64">
        <v>0.52</v>
      </c>
      <c r="R257" s="90">
        <f t="shared" si="105"/>
        <v>7902.336</v>
      </c>
      <c r="S257" s="64">
        <v>0.89</v>
      </c>
      <c r="T257" s="91">
        <f t="shared" si="106"/>
        <v>13525.152</v>
      </c>
      <c r="U257" s="64">
        <v>0.54</v>
      </c>
      <c r="V257" s="90">
        <f t="shared" si="107"/>
        <v>8206.272</v>
      </c>
      <c r="W257" s="96"/>
      <c r="X257" s="91">
        <f t="shared" si="108"/>
        <v>0</v>
      </c>
      <c r="Y257" s="110">
        <f t="shared" si="111"/>
        <v>111392.54400000001</v>
      </c>
      <c r="Z257" s="32"/>
      <c r="AA257" s="12">
        <f t="shared" si="109"/>
        <v>0</v>
      </c>
      <c r="AB257" s="25">
        <f t="shared" si="110"/>
        <v>239501.568</v>
      </c>
      <c r="AC257" s="44"/>
      <c r="AD257" s="8">
        <f t="shared" si="95"/>
        <v>239501.568</v>
      </c>
      <c r="AE257" s="167">
        <v>87278.78400000001</v>
      </c>
      <c r="AF257" s="168">
        <v>0</v>
      </c>
      <c r="AG257" s="168">
        <v>19958.463999999996</v>
      </c>
      <c r="AH257" s="168">
        <v>0</v>
      </c>
      <c r="AI257" s="168">
        <v>239501.56799999997</v>
      </c>
      <c r="AJ257" s="59"/>
      <c r="AK257" s="59"/>
      <c r="AL257" s="45">
        <v>0</v>
      </c>
      <c r="AM257" s="45">
        <v>36205.33</v>
      </c>
      <c r="AN257" s="2">
        <v>0</v>
      </c>
      <c r="AO257" s="2">
        <v>22607.16</v>
      </c>
      <c r="AP257" s="1">
        <v>0</v>
      </c>
      <c r="AQ257" s="1">
        <v>7287.43</v>
      </c>
      <c r="AR257" s="24">
        <v>0</v>
      </c>
      <c r="AS257" s="24">
        <v>42268.2</v>
      </c>
      <c r="AT257" s="1">
        <v>0</v>
      </c>
      <c r="AU257" s="1">
        <v>11152.45</v>
      </c>
      <c r="AV257" s="24">
        <v>0</v>
      </c>
      <c r="AW257" s="24">
        <v>16322.39</v>
      </c>
      <c r="AX257" s="45">
        <v>0</v>
      </c>
      <c r="AY257" s="45">
        <v>32793.1</v>
      </c>
      <c r="AZ257" s="24">
        <v>0</v>
      </c>
      <c r="BA257" s="24">
        <v>31706.76</v>
      </c>
      <c r="BB257" s="24">
        <v>0</v>
      </c>
      <c r="BC257" s="24">
        <v>14716.41</v>
      </c>
      <c r="BD257" s="24">
        <v>0</v>
      </c>
      <c r="BE257" s="24">
        <v>13486.38</v>
      </c>
      <c r="BF257" s="24">
        <v>0</v>
      </c>
      <c r="BG257" s="24">
        <v>19664.63</v>
      </c>
      <c r="BH257" s="24">
        <v>0</v>
      </c>
      <c r="BI257" s="24">
        <v>7606.79</v>
      </c>
      <c r="BJ257" s="9">
        <f t="shared" si="96"/>
        <v>0</v>
      </c>
      <c r="BK257" s="9">
        <f t="shared" si="97"/>
        <v>255817.03000000006</v>
      </c>
      <c r="BL257" s="153">
        <f t="shared" si="98"/>
        <v>255817.03000000006</v>
      </c>
      <c r="BM257" s="154"/>
      <c r="BN257" s="154"/>
      <c r="BO257" s="154">
        <v>985.25</v>
      </c>
      <c r="BP257" s="154"/>
      <c r="BQ257" s="154"/>
      <c r="BR257" s="155">
        <f t="shared" si="113"/>
        <v>256802.28000000006</v>
      </c>
      <c r="BS257" s="198">
        <v>1848.94</v>
      </c>
      <c r="BT257" s="199">
        <v>4128</v>
      </c>
      <c r="BU257" s="20">
        <f t="shared" si="112"/>
        <v>-15451.772000000057</v>
      </c>
      <c r="BV257" s="231">
        <v>1902654.94</v>
      </c>
      <c r="BW257" s="229"/>
      <c r="BX257" s="230"/>
    </row>
    <row r="258" spans="1:76" ht="15.75">
      <c r="A258" s="1">
        <v>251</v>
      </c>
      <c r="B258" s="1" t="s">
        <v>236</v>
      </c>
      <c r="C258" s="1">
        <v>487</v>
      </c>
      <c r="D258" s="1">
        <v>0</v>
      </c>
      <c r="E258" s="1">
        <f t="shared" si="100"/>
        <v>487</v>
      </c>
      <c r="F258" s="2">
        <v>11.89</v>
      </c>
      <c r="G258" s="2">
        <f t="shared" si="92"/>
        <v>5790.43</v>
      </c>
      <c r="H258" s="2">
        <f t="shared" si="93"/>
        <v>34742.58</v>
      </c>
      <c r="I258" s="2">
        <f t="shared" si="101"/>
        <v>11.89</v>
      </c>
      <c r="J258" s="2">
        <f t="shared" si="102"/>
        <v>5790.43</v>
      </c>
      <c r="K258" s="2">
        <f t="shared" si="94"/>
        <v>34742.58</v>
      </c>
      <c r="L258" s="97">
        <f t="shared" si="99"/>
        <v>69485.16</v>
      </c>
      <c r="M258" s="109">
        <v>3.92</v>
      </c>
      <c r="N258" s="89">
        <f t="shared" si="103"/>
        <v>22908.48</v>
      </c>
      <c r="O258" s="64">
        <v>1.46</v>
      </c>
      <c r="P258" s="90">
        <f t="shared" si="104"/>
        <v>8532.24</v>
      </c>
      <c r="Q258" s="64"/>
      <c r="R258" s="90">
        <f t="shared" si="105"/>
        <v>0</v>
      </c>
      <c r="S258" s="64"/>
      <c r="T258" s="91">
        <f t="shared" si="106"/>
        <v>0</v>
      </c>
      <c r="U258" s="64">
        <v>0</v>
      </c>
      <c r="V258" s="90">
        <f t="shared" si="107"/>
        <v>0</v>
      </c>
      <c r="W258" s="96"/>
      <c r="X258" s="91">
        <f t="shared" si="108"/>
        <v>0</v>
      </c>
      <c r="Y258" s="110">
        <f t="shared" si="111"/>
        <v>31440.72</v>
      </c>
      <c r="Z258" s="32"/>
      <c r="AA258" s="12">
        <f t="shared" si="109"/>
        <v>0</v>
      </c>
      <c r="AB258" s="25">
        <f t="shared" si="110"/>
        <v>69485.16</v>
      </c>
      <c r="AC258" s="44"/>
      <c r="AD258" s="8">
        <f t="shared" si="95"/>
        <v>69485.16</v>
      </c>
      <c r="AE258" s="167">
        <v>18655.68</v>
      </c>
      <c r="AF258" s="168">
        <v>0</v>
      </c>
      <c r="AG258" s="168">
        <v>5790.43</v>
      </c>
      <c r="AH258" s="168">
        <v>0</v>
      </c>
      <c r="AI258" s="168">
        <v>69485.16</v>
      </c>
      <c r="AJ258" s="59" t="s">
        <v>299</v>
      </c>
      <c r="AK258" s="59"/>
      <c r="AL258" s="45">
        <v>0</v>
      </c>
      <c r="AM258" s="45">
        <v>3068.69</v>
      </c>
      <c r="AN258" s="2">
        <v>0</v>
      </c>
      <c r="AO258" s="2">
        <v>1559.51</v>
      </c>
      <c r="AP258" s="1">
        <v>0</v>
      </c>
      <c r="AQ258" s="1">
        <v>1559.51</v>
      </c>
      <c r="AR258" s="24">
        <v>0</v>
      </c>
      <c r="AS258" s="24">
        <v>4528.38</v>
      </c>
      <c r="AT258" s="1">
        <v>0</v>
      </c>
      <c r="AU258" s="1">
        <v>1559.51</v>
      </c>
      <c r="AV258" s="24">
        <v>0</v>
      </c>
      <c r="AW258" s="24">
        <v>1559.51</v>
      </c>
      <c r="AX258" s="45">
        <v>0</v>
      </c>
      <c r="AY258" s="45">
        <v>1559.51</v>
      </c>
      <c r="AZ258" s="24">
        <v>0</v>
      </c>
      <c r="BA258" s="24">
        <v>1559.51</v>
      </c>
      <c r="BB258" s="24">
        <v>0</v>
      </c>
      <c r="BC258" s="24">
        <v>3975.03</v>
      </c>
      <c r="BD258" s="24">
        <v>0</v>
      </c>
      <c r="BE258" s="24">
        <v>7233.4</v>
      </c>
      <c r="BF258" s="24">
        <v>0</v>
      </c>
      <c r="BG258" s="24">
        <v>3067.51</v>
      </c>
      <c r="BH258" s="24">
        <v>0</v>
      </c>
      <c r="BI258" s="24">
        <v>1559.51</v>
      </c>
      <c r="BJ258" s="9">
        <f t="shared" si="96"/>
        <v>0</v>
      </c>
      <c r="BK258" s="9">
        <f t="shared" si="97"/>
        <v>32789.58</v>
      </c>
      <c r="BL258" s="153">
        <f t="shared" si="98"/>
        <v>32789.58</v>
      </c>
      <c r="BM258" s="154"/>
      <c r="BN258" s="154"/>
      <c r="BO258" s="154"/>
      <c r="BP258" s="154"/>
      <c r="BQ258" s="154"/>
      <c r="BR258" s="155">
        <f t="shared" si="113"/>
        <v>32789.58</v>
      </c>
      <c r="BS258" s="198">
        <v>1066.53</v>
      </c>
      <c r="BT258" s="199"/>
      <c r="BU258" s="20">
        <f t="shared" si="112"/>
        <v>37762.11</v>
      </c>
      <c r="BV258" s="231">
        <v>67863.18</v>
      </c>
      <c r="BW258" s="229"/>
      <c r="BX258" s="230"/>
    </row>
    <row r="259" spans="1:76" ht="15.75">
      <c r="A259" s="1">
        <v>252</v>
      </c>
      <c r="B259" s="1" t="s">
        <v>237</v>
      </c>
      <c r="C259" s="1">
        <v>482.1</v>
      </c>
      <c r="D259" s="1">
        <v>0</v>
      </c>
      <c r="E259" s="1">
        <f t="shared" si="100"/>
        <v>482.1</v>
      </c>
      <c r="F259" s="2">
        <v>14.54</v>
      </c>
      <c r="G259" s="2">
        <f t="shared" si="92"/>
        <v>7009.7339999999995</v>
      </c>
      <c r="H259" s="2">
        <f t="shared" si="93"/>
        <v>42058.403999999995</v>
      </c>
      <c r="I259" s="2">
        <f t="shared" si="101"/>
        <v>14.54</v>
      </c>
      <c r="J259" s="2">
        <f t="shared" si="102"/>
        <v>7009.7339999999995</v>
      </c>
      <c r="K259" s="2">
        <f t="shared" si="94"/>
        <v>42058.403999999995</v>
      </c>
      <c r="L259" s="97">
        <f t="shared" si="99"/>
        <v>84116.80799999999</v>
      </c>
      <c r="M259" s="109">
        <v>3.92</v>
      </c>
      <c r="N259" s="89">
        <f t="shared" si="103"/>
        <v>22677.984</v>
      </c>
      <c r="O259" s="64">
        <v>1.46</v>
      </c>
      <c r="P259" s="90">
        <f t="shared" si="104"/>
        <v>8446.392</v>
      </c>
      <c r="Q259" s="64"/>
      <c r="R259" s="90">
        <f t="shared" si="105"/>
        <v>0</v>
      </c>
      <c r="S259" s="64"/>
      <c r="T259" s="91">
        <f t="shared" si="106"/>
        <v>0</v>
      </c>
      <c r="U259" s="64">
        <v>0</v>
      </c>
      <c r="V259" s="90">
        <f t="shared" si="107"/>
        <v>0</v>
      </c>
      <c r="W259" s="96"/>
      <c r="X259" s="91">
        <f t="shared" si="108"/>
        <v>0</v>
      </c>
      <c r="Y259" s="110">
        <f t="shared" si="111"/>
        <v>31124.376</v>
      </c>
      <c r="Z259" s="32"/>
      <c r="AA259" s="12">
        <f t="shared" si="109"/>
        <v>0</v>
      </c>
      <c r="AB259" s="25">
        <f t="shared" si="110"/>
        <v>84116.80799999999</v>
      </c>
      <c r="AC259" s="44"/>
      <c r="AD259" s="8">
        <f t="shared" si="95"/>
        <v>84116.80799999999</v>
      </c>
      <c r="AE259" s="167">
        <v>18495.744000000002</v>
      </c>
      <c r="AF259" s="168">
        <v>0</v>
      </c>
      <c r="AG259" s="168">
        <v>7009.7339999999995</v>
      </c>
      <c r="AH259" s="168">
        <v>0</v>
      </c>
      <c r="AI259" s="168">
        <v>84116.80799999999</v>
      </c>
      <c r="AJ259" s="58" t="s">
        <v>296</v>
      </c>
      <c r="AK259" s="26"/>
      <c r="AL259" s="45">
        <v>0</v>
      </c>
      <c r="AM259" s="45">
        <v>1546.13</v>
      </c>
      <c r="AN259" s="2">
        <v>0</v>
      </c>
      <c r="AO259" s="2">
        <v>1546.13</v>
      </c>
      <c r="AP259" s="1">
        <v>0</v>
      </c>
      <c r="AQ259" s="1">
        <v>1546.13</v>
      </c>
      <c r="AR259" s="24">
        <v>0</v>
      </c>
      <c r="AS259" s="24">
        <v>44167.15</v>
      </c>
      <c r="AT259" s="1">
        <v>0</v>
      </c>
      <c r="AU259" s="1">
        <v>1978.13</v>
      </c>
      <c r="AV259" s="24">
        <v>0</v>
      </c>
      <c r="AW259" s="24">
        <v>1546.13</v>
      </c>
      <c r="AX259" s="45">
        <v>0</v>
      </c>
      <c r="AY259" s="45">
        <v>1546.13</v>
      </c>
      <c r="AZ259" s="24">
        <v>0</v>
      </c>
      <c r="BA259" s="24">
        <v>1546.13</v>
      </c>
      <c r="BB259" s="24">
        <v>0</v>
      </c>
      <c r="BC259" s="24">
        <v>1546.13</v>
      </c>
      <c r="BD259" s="24">
        <v>0</v>
      </c>
      <c r="BE259" s="24">
        <v>3961.65</v>
      </c>
      <c r="BF259" s="24">
        <v>0</v>
      </c>
      <c r="BG259" s="24">
        <v>3054.13</v>
      </c>
      <c r="BH259" s="24">
        <v>0</v>
      </c>
      <c r="BI259" s="24">
        <v>1546.13</v>
      </c>
      <c r="BJ259" s="9">
        <f t="shared" si="96"/>
        <v>0</v>
      </c>
      <c r="BK259" s="9">
        <f t="shared" si="97"/>
        <v>65530.099999999984</v>
      </c>
      <c r="BL259" s="153">
        <f t="shared" si="98"/>
        <v>65530.099999999984</v>
      </c>
      <c r="BM259" s="154"/>
      <c r="BN259" s="154"/>
      <c r="BO259" s="154"/>
      <c r="BP259" s="154"/>
      <c r="BQ259" s="154"/>
      <c r="BR259" s="155">
        <f t="shared" si="113"/>
        <v>65530.099999999984</v>
      </c>
      <c r="BS259" s="198">
        <v>1055.8</v>
      </c>
      <c r="BT259" s="199"/>
      <c r="BU259" s="20">
        <f t="shared" si="112"/>
        <v>19642.508000000005</v>
      </c>
      <c r="BV259" s="231">
        <v>214010.65</v>
      </c>
      <c r="BW259" s="229"/>
      <c r="BX259" s="230"/>
    </row>
    <row r="260" spans="1:76" ht="15.75">
      <c r="A260" s="1">
        <v>253</v>
      </c>
      <c r="B260" s="1" t="s">
        <v>238</v>
      </c>
      <c r="C260" s="1">
        <v>342.3</v>
      </c>
      <c r="D260" s="1">
        <v>116.8</v>
      </c>
      <c r="E260" s="1">
        <f t="shared" si="100"/>
        <v>459.1</v>
      </c>
      <c r="F260" s="2">
        <v>14.54</v>
      </c>
      <c r="G260" s="2">
        <f aca="true" t="shared" si="114" ref="G260:G285">E260*F260</f>
        <v>6675.314</v>
      </c>
      <c r="H260" s="2">
        <f t="shared" si="93"/>
        <v>40051.884000000005</v>
      </c>
      <c r="I260" s="2">
        <f t="shared" si="101"/>
        <v>14.54</v>
      </c>
      <c r="J260" s="2">
        <f t="shared" si="102"/>
        <v>6675.314</v>
      </c>
      <c r="K260" s="2">
        <f t="shared" si="94"/>
        <v>40051.884000000005</v>
      </c>
      <c r="L260" s="97">
        <f t="shared" si="99"/>
        <v>80103.76800000001</v>
      </c>
      <c r="M260" s="109">
        <v>3.92</v>
      </c>
      <c r="N260" s="89">
        <f t="shared" si="103"/>
        <v>21596.064</v>
      </c>
      <c r="O260" s="64">
        <v>1.46</v>
      </c>
      <c r="P260" s="90">
        <f t="shared" si="104"/>
        <v>8043.432000000001</v>
      </c>
      <c r="Q260" s="64"/>
      <c r="R260" s="90">
        <f t="shared" si="105"/>
        <v>0</v>
      </c>
      <c r="S260" s="64"/>
      <c r="T260" s="91">
        <f t="shared" si="106"/>
        <v>0</v>
      </c>
      <c r="U260" s="64">
        <v>3.58</v>
      </c>
      <c r="V260" s="90">
        <f t="shared" si="107"/>
        <v>19722.936</v>
      </c>
      <c r="W260" s="96"/>
      <c r="X260" s="91">
        <f t="shared" si="108"/>
        <v>0</v>
      </c>
      <c r="Y260" s="110">
        <f t="shared" si="111"/>
        <v>49362.432</v>
      </c>
      <c r="Z260" s="32">
        <v>-61373.05</v>
      </c>
      <c r="AA260" s="12">
        <f t="shared" si="109"/>
        <v>-0.7661693267662514</v>
      </c>
      <c r="AB260" s="25">
        <f t="shared" si="110"/>
        <v>18730.718000000008</v>
      </c>
      <c r="AC260" s="44"/>
      <c r="AD260" s="8">
        <f t="shared" si="95"/>
        <v>18730.718000000008</v>
      </c>
      <c r="AE260" s="167">
        <v>14985.024000000001</v>
      </c>
      <c r="AF260" s="168">
        <v>0</v>
      </c>
      <c r="AG260" s="168">
        <v>1560.8931666666674</v>
      </c>
      <c r="AH260" s="168">
        <v>0</v>
      </c>
      <c r="AI260" s="168">
        <v>18730.718000000008</v>
      </c>
      <c r="AJ260" s="59" t="s">
        <v>296</v>
      </c>
      <c r="AK260" s="26" t="s">
        <v>352</v>
      </c>
      <c r="AL260" s="45">
        <v>0</v>
      </c>
      <c r="AM260" s="45">
        <v>3525.8</v>
      </c>
      <c r="AN260" s="2">
        <v>0</v>
      </c>
      <c r="AO260" s="2">
        <v>1253.34</v>
      </c>
      <c r="AP260" s="1">
        <v>0</v>
      </c>
      <c r="AQ260" s="1">
        <v>1253.34</v>
      </c>
      <c r="AR260" s="24">
        <v>0</v>
      </c>
      <c r="AS260" s="24">
        <v>4222.21</v>
      </c>
      <c r="AT260" s="1">
        <v>0</v>
      </c>
      <c r="AU260" s="1">
        <v>1253.34</v>
      </c>
      <c r="AV260" s="24">
        <v>0</v>
      </c>
      <c r="AW260" s="24">
        <v>1253.34</v>
      </c>
      <c r="AX260" s="45">
        <v>0</v>
      </c>
      <c r="AY260" s="45">
        <v>1253.34</v>
      </c>
      <c r="AZ260" s="24">
        <v>0</v>
      </c>
      <c r="BA260" s="24">
        <v>1253.34</v>
      </c>
      <c r="BB260" s="24">
        <v>0</v>
      </c>
      <c r="BC260" s="24">
        <v>1253.34</v>
      </c>
      <c r="BD260" s="24">
        <v>0</v>
      </c>
      <c r="BE260" s="24">
        <v>1253.34</v>
      </c>
      <c r="BF260" s="24">
        <v>0</v>
      </c>
      <c r="BG260" s="24">
        <v>2761.34</v>
      </c>
      <c r="BH260" s="24">
        <v>0</v>
      </c>
      <c r="BI260" s="24">
        <v>1253.34</v>
      </c>
      <c r="BJ260" s="9">
        <f t="shared" si="96"/>
        <v>0</v>
      </c>
      <c r="BK260" s="9">
        <f t="shared" si="97"/>
        <v>21789.41</v>
      </c>
      <c r="BL260" s="153">
        <f t="shared" si="98"/>
        <v>21789.41</v>
      </c>
      <c r="BM260" s="154"/>
      <c r="BN260" s="154"/>
      <c r="BO260" s="154"/>
      <c r="BP260" s="154"/>
      <c r="BQ260" s="154"/>
      <c r="BR260" s="155">
        <f t="shared" si="113"/>
        <v>21789.41</v>
      </c>
      <c r="BS260" s="198">
        <v>1005.43</v>
      </c>
      <c r="BT260" s="199"/>
      <c r="BU260" s="20">
        <f t="shared" si="112"/>
        <v>-2053.261999999992</v>
      </c>
      <c r="BV260" s="231">
        <v>13836.82</v>
      </c>
      <c r="BW260" s="229"/>
      <c r="BX260" s="230"/>
    </row>
    <row r="261" spans="1:76" ht="15.75">
      <c r="A261" s="1">
        <v>254</v>
      </c>
      <c r="B261" s="18" t="s">
        <v>359</v>
      </c>
      <c r="C261" s="1">
        <v>4698.4</v>
      </c>
      <c r="D261" s="1">
        <v>0</v>
      </c>
      <c r="E261" s="1">
        <f>C261+D261</f>
        <v>4698.4</v>
      </c>
      <c r="F261" s="2">
        <v>15.7</v>
      </c>
      <c r="G261" s="2">
        <f>E261*F261</f>
        <v>73764.87999999999</v>
      </c>
      <c r="H261" s="2">
        <f>G261*1+(G261/31*15)</f>
        <v>109457.56387096772</v>
      </c>
      <c r="I261" s="2">
        <f>F261*1</f>
        <v>15.7</v>
      </c>
      <c r="J261" s="2">
        <f>E261*I261</f>
        <v>73764.87999999999</v>
      </c>
      <c r="K261" s="2">
        <f>J261*6</f>
        <v>442589.2799999999</v>
      </c>
      <c r="L261" s="97">
        <f>H261+K261</f>
        <v>552046.8438709676</v>
      </c>
      <c r="M261" s="109">
        <v>3.92</v>
      </c>
      <c r="N261" s="89">
        <f>E261*M261*7</f>
        <v>128924.09599999999</v>
      </c>
      <c r="O261" s="64">
        <v>1.71</v>
      </c>
      <c r="P261" s="90">
        <f>E261*O261*7</f>
        <v>56239.848</v>
      </c>
      <c r="Q261" s="64"/>
      <c r="R261" s="90">
        <f>E261*Q261*12</f>
        <v>0</v>
      </c>
      <c r="S261" s="64"/>
      <c r="T261" s="91">
        <f>E261*S261*12</f>
        <v>0</v>
      </c>
      <c r="U261" s="64"/>
      <c r="V261" s="90">
        <f>E261*U261*12</f>
        <v>0</v>
      </c>
      <c r="W261" s="96"/>
      <c r="X261" s="91">
        <f>E261*W261*12</f>
        <v>0</v>
      </c>
      <c r="Y261" s="110">
        <f>N261+P261+R261+T261+V261+X261</f>
        <v>185163.944</v>
      </c>
      <c r="Z261" s="32"/>
      <c r="AA261" s="12">
        <f>Z261/L261</f>
        <v>0</v>
      </c>
      <c r="AB261" s="25">
        <f>L261+Z261</f>
        <v>552046.8438709676</v>
      </c>
      <c r="AC261" s="44"/>
      <c r="AD261" s="8">
        <f>AB261-AC261</f>
        <v>552046.8438709676</v>
      </c>
      <c r="AE261" s="167"/>
      <c r="AF261" s="168"/>
      <c r="AG261" s="168"/>
      <c r="AH261" s="168"/>
      <c r="AI261" s="168"/>
      <c r="AJ261" s="59"/>
      <c r="AK261" s="26"/>
      <c r="AL261" s="71"/>
      <c r="AM261" s="194"/>
      <c r="AN261" s="195"/>
      <c r="AO261" s="195"/>
      <c r="AP261" s="67"/>
      <c r="AQ261" s="67"/>
      <c r="AR261" s="194"/>
      <c r="AS261" s="194"/>
      <c r="AT261" s="1"/>
      <c r="AU261" s="1">
        <v>35943.29</v>
      </c>
      <c r="AV261" s="24"/>
      <c r="AW261" s="24">
        <v>51730.55</v>
      </c>
      <c r="AX261" s="45"/>
      <c r="AY261" s="45">
        <v>30455.56</v>
      </c>
      <c r="AZ261" s="24"/>
      <c r="BA261" s="24">
        <v>37094.21</v>
      </c>
      <c r="BB261" s="24"/>
      <c r="BC261" s="24">
        <v>63954.99</v>
      </c>
      <c r="BD261" s="24"/>
      <c r="BE261" s="24">
        <v>26974.21</v>
      </c>
      <c r="BF261" s="24">
        <v>0</v>
      </c>
      <c r="BG261" s="24">
        <v>82083.18</v>
      </c>
      <c r="BH261" s="24"/>
      <c r="BI261" s="24">
        <v>52115.08</v>
      </c>
      <c r="BJ261" s="9">
        <f>AL261+AN261+AP261+AR261+AT261+AV261+AX261+AZ261+BB261+BD261+BF261+BH261</f>
        <v>0</v>
      </c>
      <c r="BK261" s="9">
        <f>AM261+AO261+AQ261+AS261+AU261+AW261+AY261+BA261+BC261+BE261+BG261+BI261</f>
        <v>380351.07</v>
      </c>
      <c r="BL261" s="153">
        <f>BJ261+BK261</f>
        <v>380351.07</v>
      </c>
      <c r="BM261" s="154"/>
      <c r="BN261" s="154">
        <v>5100</v>
      </c>
      <c r="BO261" s="154"/>
      <c r="BP261" s="154"/>
      <c r="BQ261" s="154"/>
      <c r="BR261" s="155">
        <f>BL261+BM261+BN261+BO261+BQ261+BP261</f>
        <v>385451.07</v>
      </c>
      <c r="BS261" s="198"/>
      <c r="BT261" s="199"/>
      <c r="BU261" s="20">
        <f>AB261-BR261+BS261</f>
        <v>166595.77387096762</v>
      </c>
      <c r="BV261" s="231">
        <v>289095.67</v>
      </c>
      <c r="BW261" s="229"/>
      <c r="BX261" s="230"/>
    </row>
    <row r="262" spans="1:76" ht="15.75">
      <c r="A262" s="1">
        <v>255</v>
      </c>
      <c r="B262" s="1" t="s">
        <v>286</v>
      </c>
      <c r="C262" s="1">
        <v>2165.8</v>
      </c>
      <c r="D262" s="1">
        <v>0</v>
      </c>
      <c r="E262" s="1">
        <f t="shared" si="100"/>
        <v>2165.8</v>
      </c>
      <c r="F262" s="2">
        <v>13.8</v>
      </c>
      <c r="G262" s="2">
        <f t="shared" si="114"/>
        <v>29888.040000000005</v>
      </c>
      <c r="H262" s="2">
        <f t="shared" si="93"/>
        <v>179328.24000000002</v>
      </c>
      <c r="I262" s="2">
        <f t="shared" si="101"/>
        <v>13.8</v>
      </c>
      <c r="J262" s="2">
        <f t="shared" si="102"/>
        <v>29888.040000000005</v>
      </c>
      <c r="K262" s="2">
        <f t="shared" si="94"/>
        <v>179328.24000000002</v>
      </c>
      <c r="L262" s="97">
        <f t="shared" si="99"/>
        <v>358656.48000000004</v>
      </c>
      <c r="M262" s="109">
        <v>3.92</v>
      </c>
      <c r="N262" s="89">
        <f t="shared" si="103"/>
        <v>101879.23199999999</v>
      </c>
      <c r="O262" s="64">
        <v>1.46</v>
      </c>
      <c r="P262" s="90">
        <f t="shared" si="104"/>
        <v>37944.816000000006</v>
      </c>
      <c r="Q262" s="64">
        <v>0.52</v>
      </c>
      <c r="R262" s="90">
        <f t="shared" si="105"/>
        <v>13514.592</v>
      </c>
      <c r="S262" s="64">
        <v>0.89</v>
      </c>
      <c r="T262" s="91">
        <f t="shared" si="106"/>
        <v>23130.744000000002</v>
      </c>
      <c r="U262" s="64">
        <v>0</v>
      </c>
      <c r="V262" s="90">
        <f t="shared" si="107"/>
        <v>0</v>
      </c>
      <c r="W262" s="96"/>
      <c r="X262" s="91">
        <f t="shared" si="108"/>
        <v>0</v>
      </c>
      <c r="Y262" s="110">
        <f t="shared" si="111"/>
        <v>176469.38400000002</v>
      </c>
      <c r="Z262" s="32">
        <v>-76002.7</v>
      </c>
      <c r="AA262" s="12">
        <f t="shared" si="109"/>
        <v>-0.21190945720540164</v>
      </c>
      <c r="AB262" s="25">
        <f t="shared" si="110"/>
        <v>282653.78</v>
      </c>
      <c r="AC262" s="44"/>
      <c r="AD262" s="8">
        <f t="shared" si="95"/>
        <v>282653.78</v>
      </c>
      <c r="AE262" s="167">
        <v>73448.448</v>
      </c>
      <c r="AF262" s="168">
        <v>14367.982883114426</v>
      </c>
      <c r="AG262" s="168">
        <v>9186.498783552244</v>
      </c>
      <c r="AH262" s="168">
        <v>172415.7945973731</v>
      </c>
      <c r="AI262" s="168">
        <v>110237.98540262693</v>
      </c>
      <c r="AJ262" s="58" t="s">
        <v>296</v>
      </c>
      <c r="AK262" s="26" t="s">
        <v>352</v>
      </c>
      <c r="AL262" s="45">
        <v>61557.73</v>
      </c>
      <c r="AM262" s="45">
        <v>6142.36</v>
      </c>
      <c r="AN262" s="2">
        <v>17818.34</v>
      </c>
      <c r="AO262" s="2">
        <v>6142.36</v>
      </c>
      <c r="AP262" s="1">
        <v>4223.12</v>
      </c>
      <c r="AQ262" s="1">
        <v>6142.36</v>
      </c>
      <c r="AR262" s="24">
        <v>7413.21</v>
      </c>
      <c r="AS262" s="24">
        <v>7418.36</v>
      </c>
      <c r="AT262" s="1">
        <v>10067.66</v>
      </c>
      <c r="AU262" s="1">
        <v>6142.36</v>
      </c>
      <c r="AV262" s="24">
        <v>15181.2</v>
      </c>
      <c r="AW262" s="24">
        <v>6142.36</v>
      </c>
      <c r="AX262" s="45">
        <v>62006.32</v>
      </c>
      <c r="AY262" s="45">
        <v>6142.36</v>
      </c>
      <c r="AZ262" s="24">
        <v>8987.66</v>
      </c>
      <c r="BA262" s="24">
        <v>6142.36</v>
      </c>
      <c r="BB262" s="24">
        <v>12053.66</v>
      </c>
      <c r="BC262" s="24">
        <v>8932.74</v>
      </c>
      <c r="BD262" s="24">
        <v>9848.71</v>
      </c>
      <c r="BE262" s="24">
        <v>6142.36</v>
      </c>
      <c r="BF262" s="24">
        <v>11921.9</v>
      </c>
      <c r="BG262" s="24">
        <v>8345.48</v>
      </c>
      <c r="BH262" s="24">
        <v>7684.9</v>
      </c>
      <c r="BI262" s="24">
        <v>8557.88</v>
      </c>
      <c r="BJ262" s="9">
        <f t="shared" si="96"/>
        <v>228764.41</v>
      </c>
      <c r="BK262" s="9">
        <f t="shared" si="97"/>
        <v>82393.34</v>
      </c>
      <c r="BL262" s="153">
        <f t="shared" si="98"/>
        <v>311157.75</v>
      </c>
      <c r="BM262" s="154"/>
      <c r="BN262" s="154"/>
      <c r="BO262" s="154">
        <v>1684.89</v>
      </c>
      <c r="BP262" s="154"/>
      <c r="BQ262" s="154"/>
      <c r="BR262" s="155">
        <f t="shared" si="113"/>
        <v>312842.64</v>
      </c>
      <c r="BS262" s="198">
        <v>4742.88</v>
      </c>
      <c r="BT262" s="199"/>
      <c r="BU262" s="20">
        <f t="shared" si="112"/>
        <v>-25445.979999999985</v>
      </c>
      <c r="BV262" s="231">
        <v>468961.5</v>
      </c>
      <c r="BW262" s="229"/>
      <c r="BX262" s="230"/>
    </row>
    <row r="263" spans="1:76" ht="15.75">
      <c r="A263" s="1">
        <v>256</v>
      </c>
      <c r="B263" s="1" t="s">
        <v>281</v>
      </c>
      <c r="C263" s="1">
        <v>2027.6</v>
      </c>
      <c r="D263" s="1">
        <v>0</v>
      </c>
      <c r="E263" s="1">
        <f t="shared" si="100"/>
        <v>2027.6</v>
      </c>
      <c r="F263" s="2">
        <v>13.8</v>
      </c>
      <c r="G263" s="2">
        <f t="shared" si="114"/>
        <v>27980.88</v>
      </c>
      <c r="H263" s="2">
        <f t="shared" si="93"/>
        <v>167885.28</v>
      </c>
      <c r="I263" s="2">
        <f t="shared" si="101"/>
        <v>13.8</v>
      </c>
      <c r="J263" s="2">
        <f t="shared" si="102"/>
        <v>27980.88</v>
      </c>
      <c r="K263" s="2">
        <f t="shared" si="94"/>
        <v>167885.28</v>
      </c>
      <c r="L263" s="97">
        <f t="shared" si="99"/>
        <v>335770.56</v>
      </c>
      <c r="M263" s="109">
        <v>3.92</v>
      </c>
      <c r="N263" s="89">
        <f t="shared" si="103"/>
        <v>95378.30399999999</v>
      </c>
      <c r="O263" s="64">
        <v>1.46</v>
      </c>
      <c r="P263" s="90">
        <f t="shared" si="104"/>
        <v>35523.551999999996</v>
      </c>
      <c r="Q263" s="64">
        <v>0.52</v>
      </c>
      <c r="R263" s="90">
        <f t="shared" si="105"/>
        <v>12652.224000000002</v>
      </c>
      <c r="S263" s="64">
        <v>0.89</v>
      </c>
      <c r="T263" s="91">
        <f t="shared" si="106"/>
        <v>21654.767999999996</v>
      </c>
      <c r="U263" s="64">
        <v>0</v>
      </c>
      <c r="V263" s="90">
        <f t="shared" si="107"/>
        <v>0</v>
      </c>
      <c r="W263" s="96"/>
      <c r="X263" s="91">
        <f t="shared" si="108"/>
        <v>0</v>
      </c>
      <c r="Y263" s="110">
        <f t="shared" si="111"/>
        <v>165208.848</v>
      </c>
      <c r="Z263" s="32"/>
      <c r="AA263" s="12">
        <f t="shared" si="109"/>
        <v>0</v>
      </c>
      <c r="AB263" s="25">
        <f t="shared" si="110"/>
        <v>335770.56</v>
      </c>
      <c r="AC263" s="44"/>
      <c r="AD263" s="8">
        <f t="shared" si="95"/>
        <v>335770.56</v>
      </c>
      <c r="AE263" s="167">
        <v>133661.85600000003</v>
      </c>
      <c r="AF263" s="168">
        <v>16493.81030625082</v>
      </c>
      <c r="AG263" s="168">
        <v>11487.069693749181</v>
      </c>
      <c r="AH263" s="168">
        <v>197925.72367500985</v>
      </c>
      <c r="AI263" s="168">
        <v>137844.83632499017</v>
      </c>
      <c r="AJ263" s="59"/>
      <c r="AK263" s="59"/>
      <c r="AL263" s="45">
        <v>56038.47</v>
      </c>
      <c r="AM263" s="45">
        <v>7106.35</v>
      </c>
      <c r="AN263" s="2">
        <v>8165.04</v>
      </c>
      <c r="AO263" s="2">
        <v>5765.35</v>
      </c>
      <c r="AP263" s="1">
        <v>19959.18</v>
      </c>
      <c r="AQ263" s="1">
        <v>5765.35</v>
      </c>
      <c r="AR263" s="24">
        <v>6080.58</v>
      </c>
      <c r="AS263" s="24">
        <v>14183.16</v>
      </c>
      <c r="AT263" s="1">
        <v>9494.54</v>
      </c>
      <c r="AU263" s="1">
        <v>5765.35</v>
      </c>
      <c r="AV263" s="24">
        <v>12875.61</v>
      </c>
      <c r="AW263" s="24">
        <v>5765.35</v>
      </c>
      <c r="AX263" s="45">
        <v>23618.46</v>
      </c>
      <c r="AY263" s="45">
        <v>5765.35</v>
      </c>
      <c r="AZ263" s="24">
        <v>129754.61</v>
      </c>
      <c r="BA263" s="24">
        <v>71644.27</v>
      </c>
      <c r="BB263" s="24">
        <v>11436.54</v>
      </c>
      <c r="BC263" s="24">
        <v>5765.35</v>
      </c>
      <c r="BD263" s="24">
        <v>4368.23</v>
      </c>
      <c r="BE263" s="24">
        <v>5765.35</v>
      </c>
      <c r="BF263" s="24">
        <v>9547.14</v>
      </c>
      <c r="BG263" s="24">
        <v>35213.18</v>
      </c>
      <c r="BH263" s="24">
        <v>5781.41</v>
      </c>
      <c r="BI263" s="24">
        <v>30882.45</v>
      </c>
      <c r="BJ263" s="9">
        <f t="shared" si="96"/>
        <v>297119.80999999994</v>
      </c>
      <c r="BK263" s="9">
        <f t="shared" si="97"/>
        <v>199386.86000000002</v>
      </c>
      <c r="BL263" s="153">
        <f t="shared" si="98"/>
        <v>496506.6699999999</v>
      </c>
      <c r="BM263" s="154"/>
      <c r="BN263" s="154"/>
      <c r="BO263" s="154">
        <v>1577.45</v>
      </c>
      <c r="BP263" s="154">
        <v>7265.45</v>
      </c>
      <c r="BQ263" s="154"/>
      <c r="BR263" s="155">
        <f t="shared" si="113"/>
        <v>505349.56999999995</v>
      </c>
      <c r="BS263" s="198">
        <v>4440.44</v>
      </c>
      <c r="BT263" s="199"/>
      <c r="BU263" s="20">
        <f t="shared" si="112"/>
        <v>-165138.56999999995</v>
      </c>
      <c r="BV263" s="231">
        <v>658057.86</v>
      </c>
      <c r="BW263" s="229"/>
      <c r="BX263" s="230"/>
    </row>
    <row r="264" spans="1:76" ht="15.75">
      <c r="A264" s="1">
        <v>257</v>
      </c>
      <c r="B264" s="1" t="s">
        <v>282</v>
      </c>
      <c r="C264" s="1">
        <v>713.9</v>
      </c>
      <c r="D264" s="1">
        <v>0</v>
      </c>
      <c r="E264" s="1">
        <f t="shared" si="100"/>
        <v>713.9</v>
      </c>
      <c r="F264" s="2">
        <v>13.8</v>
      </c>
      <c r="G264" s="2">
        <f t="shared" si="114"/>
        <v>9851.82</v>
      </c>
      <c r="H264" s="2">
        <f t="shared" si="93"/>
        <v>59110.92</v>
      </c>
      <c r="I264" s="2">
        <f t="shared" si="101"/>
        <v>13.8</v>
      </c>
      <c r="J264" s="2">
        <f t="shared" si="102"/>
        <v>9851.82</v>
      </c>
      <c r="K264" s="2">
        <f t="shared" si="94"/>
        <v>59110.92</v>
      </c>
      <c r="L264" s="97">
        <f t="shared" si="99"/>
        <v>118221.84</v>
      </c>
      <c r="M264" s="109">
        <v>3.92</v>
      </c>
      <c r="N264" s="89">
        <f t="shared" si="103"/>
        <v>33581.856</v>
      </c>
      <c r="O264" s="64">
        <v>1.46</v>
      </c>
      <c r="P264" s="90">
        <f t="shared" si="104"/>
        <v>12507.527999999998</v>
      </c>
      <c r="Q264" s="64">
        <v>0.52</v>
      </c>
      <c r="R264" s="90">
        <f t="shared" si="105"/>
        <v>4454.736</v>
      </c>
      <c r="S264" s="64">
        <v>0.89</v>
      </c>
      <c r="T264" s="91">
        <f t="shared" si="106"/>
        <v>7624.451999999999</v>
      </c>
      <c r="U264" s="64">
        <v>0</v>
      </c>
      <c r="V264" s="90">
        <f t="shared" si="107"/>
        <v>0</v>
      </c>
      <c r="W264" s="96"/>
      <c r="X264" s="91">
        <f t="shared" si="108"/>
        <v>0</v>
      </c>
      <c r="Y264" s="110">
        <f t="shared" si="111"/>
        <v>58168.57199999999</v>
      </c>
      <c r="Z264" s="32">
        <v>-20453.53</v>
      </c>
      <c r="AA264" s="12">
        <f t="shared" si="109"/>
        <v>-0.17300974168563102</v>
      </c>
      <c r="AB264" s="25">
        <f t="shared" si="110"/>
        <v>97768.31</v>
      </c>
      <c r="AC264" s="44"/>
      <c r="AD264" s="8">
        <f t="shared" si="95"/>
        <v>97768.31</v>
      </c>
      <c r="AE264" s="167">
        <v>26061.696</v>
      </c>
      <c r="AF264" s="168">
        <v>4813.148066894548</v>
      </c>
      <c r="AG264" s="168">
        <v>3334.211099772119</v>
      </c>
      <c r="AH264" s="168">
        <v>57757.776802734574</v>
      </c>
      <c r="AI264" s="168">
        <v>40010.533197265424</v>
      </c>
      <c r="AJ264" s="59" t="s">
        <v>296</v>
      </c>
      <c r="AK264" s="26" t="s">
        <v>352</v>
      </c>
      <c r="AL264" s="45">
        <v>30056.5</v>
      </c>
      <c r="AM264" s="45">
        <v>5716.74</v>
      </c>
      <c r="AN264" s="2">
        <v>1211.22</v>
      </c>
      <c r="AO264" s="2">
        <v>2178.95</v>
      </c>
      <c r="AP264" s="1">
        <v>0</v>
      </c>
      <c r="AQ264" s="1">
        <v>2178.95</v>
      </c>
      <c r="AR264" s="24">
        <v>1063.44</v>
      </c>
      <c r="AS264" s="24">
        <v>3454.95</v>
      </c>
      <c r="AT264" s="1">
        <v>1080</v>
      </c>
      <c r="AU264" s="1">
        <v>2178.95</v>
      </c>
      <c r="AV264" s="24">
        <v>2716</v>
      </c>
      <c r="AW264" s="24">
        <v>2178.95</v>
      </c>
      <c r="AX264" s="45">
        <v>1032.18</v>
      </c>
      <c r="AY264" s="45">
        <v>2178.95</v>
      </c>
      <c r="AZ264" s="24">
        <v>0</v>
      </c>
      <c r="BA264" s="24">
        <v>2178.95</v>
      </c>
      <c r="BB264" s="24">
        <v>22127.8</v>
      </c>
      <c r="BC264" s="24">
        <v>2178.95</v>
      </c>
      <c r="BD264" s="24">
        <v>0</v>
      </c>
      <c r="BE264" s="24">
        <v>2178.95</v>
      </c>
      <c r="BF264" s="24">
        <v>4893.32</v>
      </c>
      <c r="BG264" s="24">
        <v>3686.95</v>
      </c>
      <c r="BH264" s="24">
        <v>1827.59</v>
      </c>
      <c r="BI264" s="24">
        <v>2178.95</v>
      </c>
      <c r="BJ264" s="9">
        <f t="shared" si="96"/>
        <v>66008.05</v>
      </c>
      <c r="BK264" s="9">
        <f t="shared" si="97"/>
        <v>32469.190000000006</v>
      </c>
      <c r="BL264" s="153">
        <f t="shared" si="98"/>
        <v>98477.24</v>
      </c>
      <c r="BM264" s="154"/>
      <c r="BN264" s="154"/>
      <c r="BO264" s="154">
        <v>555.41</v>
      </c>
      <c r="BP264" s="154"/>
      <c r="BQ264" s="154"/>
      <c r="BR264" s="155">
        <f t="shared" si="113"/>
        <v>99032.65000000001</v>
      </c>
      <c r="BS264" s="198">
        <v>1563.44</v>
      </c>
      <c r="BT264" s="199"/>
      <c r="BU264" s="20">
        <f t="shared" si="112"/>
        <v>299.099999999989</v>
      </c>
      <c r="BV264" s="231">
        <v>161313.68</v>
      </c>
      <c r="BW264" s="229"/>
      <c r="BX264" s="230"/>
    </row>
    <row r="265" spans="1:76" ht="15.75">
      <c r="A265" s="1">
        <v>258</v>
      </c>
      <c r="B265" s="1" t="s">
        <v>239</v>
      </c>
      <c r="C265" s="1">
        <v>263.9</v>
      </c>
      <c r="D265" s="1">
        <v>0</v>
      </c>
      <c r="E265" s="1">
        <f t="shared" si="100"/>
        <v>263.9</v>
      </c>
      <c r="F265" s="2">
        <v>13.81</v>
      </c>
      <c r="G265" s="2">
        <f t="shared" si="114"/>
        <v>3644.459</v>
      </c>
      <c r="H265" s="2">
        <f t="shared" si="93"/>
        <v>21866.754</v>
      </c>
      <c r="I265" s="2">
        <f t="shared" si="101"/>
        <v>13.81</v>
      </c>
      <c r="J265" s="2">
        <f t="shared" si="102"/>
        <v>3644.459</v>
      </c>
      <c r="K265" s="2">
        <f t="shared" si="94"/>
        <v>21866.754</v>
      </c>
      <c r="L265" s="97">
        <f t="shared" si="99"/>
        <v>43733.508</v>
      </c>
      <c r="M265" s="109">
        <v>3.92</v>
      </c>
      <c r="N265" s="89">
        <f t="shared" si="103"/>
        <v>12413.855999999998</v>
      </c>
      <c r="O265" s="64">
        <v>1.46</v>
      </c>
      <c r="P265" s="90">
        <f t="shared" si="104"/>
        <v>4623.528</v>
      </c>
      <c r="Q265" s="64"/>
      <c r="R265" s="90">
        <f t="shared" si="105"/>
        <v>0</v>
      </c>
      <c r="S265" s="64"/>
      <c r="T265" s="91">
        <f t="shared" si="106"/>
        <v>0</v>
      </c>
      <c r="U265" s="64">
        <v>0</v>
      </c>
      <c r="V265" s="90">
        <f t="shared" si="107"/>
        <v>0</v>
      </c>
      <c r="W265" s="96"/>
      <c r="X265" s="91">
        <f t="shared" si="108"/>
        <v>0</v>
      </c>
      <c r="Y265" s="110">
        <f t="shared" si="111"/>
        <v>17037.384</v>
      </c>
      <c r="Z265" s="32">
        <v>-158395.52</v>
      </c>
      <c r="AA265" s="12">
        <f t="shared" si="109"/>
        <v>-3.6218343152348993</v>
      </c>
      <c r="AB265" s="25">
        <f t="shared" si="110"/>
        <v>-114662.01199999999</v>
      </c>
      <c r="AC265" s="44"/>
      <c r="AD265" s="8">
        <f t="shared" si="95"/>
        <v>-114662.01199999999</v>
      </c>
      <c r="AE265" s="167">
        <v>11373.696</v>
      </c>
      <c r="AF265" s="168">
        <v>504.767554580512</v>
      </c>
      <c r="AG265" s="168">
        <v>443.040445419488</v>
      </c>
      <c r="AH265" s="168">
        <v>6057.210654966144</v>
      </c>
      <c r="AI265" s="168">
        <v>5316.485345033856</v>
      </c>
      <c r="AJ265" s="59" t="s">
        <v>296</v>
      </c>
      <c r="AK265" s="26" t="s">
        <v>352</v>
      </c>
      <c r="AL265" s="45">
        <v>3411.51</v>
      </c>
      <c r="AM265" s="45">
        <v>950.45</v>
      </c>
      <c r="AN265" s="2">
        <v>0</v>
      </c>
      <c r="AO265" s="2">
        <v>2283.64</v>
      </c>
      <c r="AP265" s="1">
        <v>0</v>
      </c>
      <c r="AQ265" s="1">
        <v>2283.64</v>
      </c>
      <c r="AR265" s="24">
        <v>3240</v>
      </c>
      <c r="AS265" s="24">
        <v>3315.44</v>
      </c>
      <c r="AT265" s="1">
        <v>1080</v>
      </c>
      <c r="AU265" s="1">
        <v>950.45</v>
      </c>
      <c r="AV265" s="24">
        <v>0</v>
      </c>
      <c r="AW265" s="24">
        <v>950.45</v>
      </c>
      <c r="AX265" s="45">
        <v>0</v>
      </c>
      <c r="AY265" s="45">
        <v>950.45</v>
      </c>
      <c r="AZ265" s="24">
        <v>12245.4</v>
      </c>
      <c r="BA265" s="24">
        <v>950.45</v>
      </c>
      <c r="BB265" s="24">
        <v>852</v>
      </c>
      <c r="BC265" s="24">
        <v>950.45</v>
      </c>
      <c r="BD265" s="24">
        <v>0</v>
      </c>
      <c r="BE265" s="24">
        <v>3969.85</v>
      </c>
      <c r="BF265" s="24">
        <v>38789.51</v>
      </c>
      <c r="BG265" s="24">
        <v>2458.45</v>
      </c>
      <c r="BH265" s="24">
        <v>7467.83</v>
      </c>
      <c r="BI265" s="24">
        <v>3531.27</v>
      </c>
      <c r="BJ265" s="9">
        <f t="shared" si="96"/>
        <v>67086.25</v>
      </c>
      <c r="BK265" s="9">
        <f t="shared" si="97"/>
        <v>23544.990000000005</v>
      </c>
      <c r="BL265" s="153">
        <f t="shared" si="98"/>
        <v>90631.24</v>
      </c>
      <c r="BM265" s="154"/>
      <c r="BN265" s="154"/>
      <c r="BO265" s="154"/>
      <c r="BP265" s="154"/>
      <c r="BQ265" s="154"/>
      <c r="BR265" s="155">
        <f t="shared" si="113"/>
        <v>90631.24</v>
      </c>
      <c r="BS265" s="198">
        <v>770.59</v>
      </c>
      <c r="BT265" s="199"/>
      <c r="BU265" s="20">
        <f t="shared" si="112"/>
        <v>-204522.66199999998</v>
      </c>
      <c r="BV265" s="231">
        <v>350212.04</v>
      </c>
      <c r="BW265" s="229"/>
      <c r="BX265" s="230"/>
    </row>
    <row r="266" spans="1:76" ht="15.75">
      <c r="A266" s="1">
        <v>259</v>
      </c>
      <c r="B266" s="1" t="s">
        <v>240</v>
      </c>
      <c r="C266" s="1">
        <v>417.3</v>
      </c>
      <c r="D266" s="1">
        <v>0</v>
      </c>
      <c r="E266" s="1">
        <f t="shared" si="100"/>
        <v>417.3</v>
      </c>
      <c r="F266" s="2">
        <v>13.78</v>
      </c>
      <c r="G266" s="2">
        <f t="shared" si="114"/>
        <v>5750.394</v>
      </c>
      <c r="H266" s="2">
        <f t="shared" si="93"/>
        <v>34502.364</v>
      </c>
      <c r="I266" s="2">
        <f t="shared" si="101"/>
        <v>13.78</v>
      </c>
      <c r="J266" s="2">
        <f t="shared" si="102"/>
        <v>5750.394</v>
      </c>
      <c r="K266" s="2">
        <f t="shared" si="94"/>
        <v>34502.364</v>
      </c>
      <c r="L266" s="97">
        <f t="shared" si="99"/>
        <v>69004.728</v>
      </c>
      <c r="M266" s="109">
        <v>3.92</v>
      </c>
      <c r="N266" s="89">
        <f t="shared" si="103"/>
        <v>19629.792</v>
      </c>
      <c r="O266" s="64">
        <v>1.46</v>
      </c>
      <c r="P266" s="90">
        <f t="shared" si="104"/>
        <v>7311.0960000000005</v>
      </c>
      <c r="Q266" s="64"/>
      <c r="R266" s="90">
        <f t="shared" si="105"/>
        <v>0</v>
      </c>
      <c r="S266" s="64"/>
      <c r="T266" s="91">
        <f t="shared" si="106"/>
        <v>0</v>
      </c>
      <c r="U266" s="64">
        <v>0.83</v>
      </c>
      <c r="V266" s="90">
        <f t="shared" si="107"/>
        <v>4156.308</v>
      </c>
      <c r="W266" s="96"/>
      <c r="X266" s="91">
        <f t="shared" si="108"/>
        <v>0</v>
      </c>
      <c r="Y266" s="110">
        <f t="shared" si="111"/>
        <v>31097.196000000004</v>
      </c>
      <c r="Z266" s="32">
        <v>-454737.97</v>
      </c>
      <c r="AA266" s="12">
        <f t="shared" si="109"/>
        <v>-6.589953807223179</v>
      </c>
      <c r="AB266" s="25">
        <f t="shared" si="110"/>
        <v>-385733.24199999997</v>
      </c>
      <c r="AC266" s="44"/>
      <c r="AD266" s="8">
        <f t="shared" si="95"/>
        <v>-385733.24199999997</v>
      </c>
      <c r="AE266" s="167">
        <v>16380.672</v>
      </c>
      <c r="AF266" s="168">
        <v>677.2064729960648</v>
      </c>
      <c r="AG266" s="168">
        <v>687.8495270039351</v>
      </c>
      <c r="AH266" s="168">
        <v>8126.477675952778</v>
      </c>
      <c r="AI266" s="168">
        <v>8254.194324047221</v>
      </c>
      <c r="AJ266" s="59" t="s">
        <v>296</v>
      </c>
      <c r="AK266" s="26" t="s">
        <v>352</v>
      </c>
      <c r="AL266" s="45">
        <v>1104.5</v>
      </c>
      <c r="AM266" s="45">
        <v>1369.23</v>
      </c>
      <c r="AN266" s="2">
        <v>0</v>
      </c>
      <c r="AO266" s="2">
        <v>2702.42</v>
      </c>
      <c r="AP266" s="1">
        <v>0</v>
      </c>
      <c r="AQ266" s="1">
        <v>2702.42</v>
      </c>
      <c r="AR266" s="24">
        <v>0</v>
      </c>
      <c r="AS266" s="24">
        <v>11213.09</v>
      </c>
      <c r="AT266" s="1">
        <v>1080</v>
      </c>
      <c r="AU266" s="1">
        <v>1369.23</v>
      </c>
      <c r="AV266" s="24">
        <v>0</v>
      </c>
      <c r="AW266" s="24">
        <v>1369.23</v>
      </c>
      <c r="AX266" s="45">
        <v>1200.34</v>
      </c>
      <c r="AY266" s="45">
        <v>1369.23</v>
      </c>
      <c r="AZ266" s="24">
        <v>0</v>
      </c>
      <c r="BA266" s="24">
        <v>1369.23</v>
      </c>
      <c r="BB266" s="24">
        <v>1952.19</v>
      </c>
      <c r="BC266" s="24">
        <v>1369.23</v>
      </c>
      <c r="BD266" s="24">
        <v>3024</v>
      </c>
      <c r="BE266" s="24">
        <v>6128.85</v>
      </c>
      <c r="BF266" s="24">
        <v>5064.33</v>
      </c>
      <c r="BG266" s="24">
        <v>2877.23</v>
      </c>
      <c r="BH266" s="24">
        <v>0</v>
      </c>
      <c r="BI266" s="24">
        <v>1369.23</v>
      </c>
      <c r="BJ266" s="9">
        <f t="shared" si="96"/>
        <v>13425.36</v>
      </c>
      <c r="BK266" s="9">
        <f t="shared" si="97"/>
        <v>35208.62</v>
      </c>
      <c r="BL266" s="153">
        <f t="shared" si="98"/>
        <v>48633.98</v>
      </c>
      <c r="BM266" s="154"/>
      <c r="BN266" s="154"/>
      <c r="BO266" s="154"/>
      <c r="BP266" s="154"/>
      <c r="BQ266" s="154"/>
      <c r="BR266" s="155">
        <f t="shared" si="113"/>
        <v>48633.98</v>
      </c>
      <c r="BS266" s="198">
        <v>1221.14</v>
      </c>
      <c r="BT266" s="199">
        <v>4128</v>
      </c>
      <c r="BU266" s="20">
        <f t="shared" si="112"/>
        <v>-433146.08199999994</v>
      </c>
      <c r="BV266" s="231">
        <v>83230.08</v>
      </c>
      <c r="BW266" s="229"/>
      <c r="BX266" s="230"/>
    </row>
    <row r="267" spans="1:76" ht="15.75">
      <c r="A267" s="1">
        <v>260</v>
      </c>
      <c r="B267" s="1" t="s">
        <v>241</v>
      </c>
      <c r="C267" s="1">
        <v>620</v>
      </c>
      <c r="D267" s="1">
        <v>0</v>
      </c>
      <c r="E267" s="1">
        <f t="shared" si="100"/>
        <v>620</v>
      </c>
      <c r="F267" s="2">
        <v>13.78</v>
      </c>
      <c r="G267" s="2">
        <f t="shared" si="114"/>
        <v>8543.6</v>
      </c>
      <c r="H267" s="2">
        <f t="shared" si="93"/>
        <v>51261.600000000006</v>
      </c>
      <c r="I267" s="2">
        <f t="shared" si="101"/>
        <v>13.78</v>
      </c>
      <c r="J267" s="2">
        <f t="shared" si="102"/>
        <v>8543.6</v>
      </c>
      <c r="K267" s="2">
        <f t="shared" si="94"/>
        <v>51261.600000000006</v>
      </c>
      <c r="L267" s="97">
        <f t="shared" si="99"/>
        <v>102523.20000000001</v>
      </c>
      <c r="M267" s="109">
        <v>3.92</v>
      </c>
      <c r="N267" s="89">
        <f t="shared" si="103"/>
        <v>29164.800000000003</v>
      </c>
      <c r="O267" s="64">
        <v>1.46</v>
      </c>
      <c r="P267" s="90">
        <f t="shared" si="104"/>
        <v>10862.4</v>
      </c>
      <c r="Q267" s="64"/>
      <c r="R267" s="90">
        <f t="shared" si="105"/>
        <v>0</v>
      </c>
      <c r="S267" s="64"/>
      <c r="T267" s="91">
        <f t="shared" si="106"/>
        <v>0</v>
      </c>
      <c r="U267" s="64">
        <v>1.86</v>
      </c>
      <c r="V267" s="90">
        <f t="shared" si="107"/>
        <v>13838.400000000001</v>
      </c>
      <c r="W267" s="96"/>
      <c r="X267" s="91">
        <f t="shared" si="108"/>
        <v>0</v>
      </c>
      <c r="Y267" s="110">
        <f t="shared" si="111"/>
        <v>53865.600000000006</v>
      </c>
      <c r="Z267" s="32"/>
      <c r="AA267" s="12">
        <f t="shared" si="109"/>
        <v>0</v>
      </c>
      <c r="AB267" s="25">
        <f t="shared" si="110"/>
        <v>102523.20000000001</v>
      </c>
      <c r="AC267" s="166"/>
      <c r="AD267" s="8">
        <f t="shared" si="95"/>
        <v>102523.20000000001</v>
      </c>
      <c r="AE267" s="167">
        <v>22996.800000000003</v>
      </c>
      <c r="AF267" s="168">
        <v>4587.406451612903</v>
      </c>
      <c r="AG267" s="168">
        <v>3956.193548387098</v>
      </c>
      <c r="AH267" s="168">
        <v>55048.87741935484</v>
      </c>
      <c r="AI267" s="168">
        <v>47474.322580645174</v>
      </c>
      <c r="AJ267" s="59" t="s">
        <v>299</v>
      </c>
      <c r="AK267" s="59"/>
      <c r="AL267" s="45">
        <v>0</v>
      </c>
      <c r="AM267" s="45">
        <v>2562.71</v>
      </c>
      <c r="AN267" s="2">
        <v>0</v>
      </c>
      <c r="AO267" s="2">
        <v>3025.79</v>
      </c>
      <c r="AP267" s="1">
        <v>0</v>
      </c>
      <c r="AQ267" s="1">
        <v>3025.79</v>
      </c>
      <c r="AR267" s="24">
        <v>0</v>
      </c>
      <c r="AS267" s="24">
        <v>4635.09</v>
      </c>
      <c r="AT267" s="1">
        <v>0</v>
      </c>
      <c r="AU267" s="1">
        <v>1692.6</v>
      </c>
      <c r="AV267" s="24">
        <v>0</v>
      </c>
      <c r="AW267" s="24">
        <v>1692.6</v>
      </c>
      <c r="AX267" s="45">
        <v>0</v>
      </c>
      <c r="AY267" s="45">
        <v>1692.6</v>
      </c>
      <c r="AZ267" s="24">
        <v>0</v>
      </c>
      <c r="BA267" s="24">
        <v>1692.6</v>
      </c>
      <c r="BB267" s="24">
        <v>0</v>
      </c>
      <c r="BC267" s="24">
        <v>4205.27</v>
      </c>
      <c r="BD267" s="24">
        <v>0</v>
      </c>
      <c r="BE267" s="24">
        <v>5618.07</v>
      </c>
      <c r="BF267" s="24">
        <v>1364.44</v>
      </c>
      <c r="BG267" s="24">
        <v>5917.22</v>
      </c>
      <c r="BH267" s="24">
        <v>5634.19</v>
      </c>
      <c r="BI267" s="24">
        <v>6270.23</v>
      </c>
      <c r="BJ267" s="9">
        <f t="shared" si="96"/>
        <v>6998.629999999999</v>
      </c>
      <c r="BK267" s="9">
        <f t="shared" si="97"/>
        <v>42030.56999999999</v>
      </c>
      <c r="BL267" s="153">
        <f t="shared" si="98"/>
        <v>49029.19999999999</v>
      </c>
      <c r="BM267" s="154"/>
      <c r="BN267" s="154"/>
      <c r="BO267" s="154"/>
      <c r="BP267" s="154"/>
      <c r="BQ267" s="154"/>
      <c r="BR267" s="155">
        <f t="shared" si="113"/>
        <v>49029.19999999999</v>
      </c>
      <c r="BS267" s="198">
        <v>1810.4</v>
      </c>
      <c r="BT267" s="199">
        <v>13836</v>
      </c>
      <c r="BU267" s="20">
        <f t="shared" si="112"/>
        <v>55304.40000000002</v>
      </c>
      <c r="BV267" s="231">
        <v>40430.91</v>
      </c>
      <c r="BW267" s="229"/>
      <c r="BX267" s="230"/>
    </row>
    <row r="268" spans="1:111" s="17" customFormat="1" ht="15.75">
      <c r="A268" s="1">
        <v>261</v>
      </c>
      <c r="B268" s="1" t="s">
        <v>242</v>
      </c>
      <c r="C268" s="1">
        <v>537.2</v>
      </c>
      <c r="D268" s="1">
        <v>0</v>
      </c>
      <c r="E268" s="1">
        <f t="shared" si="100"/>
        <v>537.2</v>
      </c>
      <c r="F268" s="2">
        <v>13.89</v>
      </c>
      <c r="G268" s="2">
        <f t="shared" si="114"/>
        <v>7461.7080000000005</v>
      </c>
      <c r="H268" s="2">
        <f t="shared" si="93"/>
        <v>44770.24800000001</v>
      </c>
      <c r="I268" s="2">
        <f t="shared" si="101"/>
        <v>13.89</v>
      </c>
      <c r="J268" s="2">
        <f t="shared" si="102"/>
        <v>7461.7080000000005</v>
      </c>
      <c r="K268" s="2">
        <f t="shared" si="94"/>
        <v>44770.24800000001</v>
      </c>
      <c r="L268" s="97">
        <f t="shared" si="99"/>
        <v>89540.49600000001</v>
      </c>
      <c r="M268" s="109">
        <v>3.92</v>
      </c>
      <c r="N268" s="89">
        <f t="shared" si="103"/>
        <v>25269.888</v>
      </c>
      <c r="O268" s="64">
        <v>1.46</v>
      </c>
      <c r="P268" s="90">
        <f t="shared" si="104"/>
        <v>9411.744</v>
      </c>
      <c r="Q268" s="64"/>
      <c r="R268" s="90">
        <f t="shared" si="105"/>
        <v>0</v>
      </c>
      <c r="S268" s="64"/>
      <c r="T268" s="91">
        <f t="shared" si="106"/>
        <v>0</v>
      </c>
      <c r="U268" s="64">
        <v>0</v>
      </c>
      <c r="V268" s="90">
        <f t="shared" si="107"/>
        <v>0</v>
      </c>
      <c r="W268" s="96"/>
      <c r="X268" s="91">
        <f t="shared" si="108"/>
        <v>0</v>
      </c>
      <c r="Y268" s="110">
        <f t="shared" si="111"/>
        <v>34681.632</v>
      </c>
      <c r="Z268" s="32">
        <v>-741572.67</v>
      </c>
      <c r="AA268" s="12">
        <f t="shared" si="109"/>
        <v>-8.281980814580253</v>
      </c>
      <c r="AB268" s="25">
        <f t="shared" si="110"/>
        <v>-652032.174</v>
      </c>
      <c r="AC268" s="44"/>
      <c r="AD268" s="8">
        <f t="shared" si="95"/>
        <v>-652032.174</v>
      </c>
      <c r="AE268" s="167">
        <v>20294.208000000002</v>
      </c>
      <c r="AF268" s="168">
        <v>910.4709215907787</v>
      </c>
      <c r="AG268" s="168">
        <v>780.7130784092215</v>
      </c>
      <c r="AH268" s="168">
        <v>10925.651059089345</v>
      </c>
      <c r="AI268" s="168">
        <v>9368.556940910657</v>
      </c>
      <c r="AJ268" s="59" t="s">
        <v>296</v>
      </c>
      <c r="AK268" s="26" t="s">
        <v>352</v>
      </c>
      <c r="AL268" s="45">
        <v>0</v>
      </c>
      <c r="AM268" s="45">
        <v>1696.56</v>
      </c>
      <c r="AN268" s="2">
        <v>0</v>
      </c>
      <c r="AO268" s="2">
        <v>3029.75</v>
      </c>
      <c r="AP268" s="1">
        <v>0</v>
      </c>
      <c r="AQ268" s="1">
        <v>3029.75</v>
      </c>
      <c r="AR268" s="24">
        <v>0</v>
      </c>
      <c r="AS268" s="24">
        <v>4061.55</v>
      </c>
      <c r="AT268" s="1">
        <v>17073.84</v>
      </c>
      <c r="AU268" s="1">
        <v>22177.07</v>
      </c>
      <c r="AV268" s="24">
        <v>18615.48</v>
      </c>
      <c r="AW268" s="24">
        <v>1696.56</v>
      </c>
      <c r="AX268" s="45">
        <v>1080</v>
      </c>
      <c r="AY268" s="45">
        <v>1696.56</v>
      </c>
      <c r="AZ268" s="24">
        <v>0</v>
      </c>
      <c r="BA268" s="24">
        <v>1696.56</v>
      </c>
      <c r="BB268" s="24">
        <v>0</v>
      </c>
      <c r="BC268" s="24">
        <v>20580.6</v>
      </c>
      <c r="BD268" s="24">
        <v>0</v>
      </c>
      <c r="BE268" s="24">
        <v>8805.67</v>
      </c>
      <c r="BF268" s="24">
        <v>1364.44</v>
      </c>
      <c r="BG268" s="24">
        <v>14000.04</v>
      </c>
      <c r="BH268" s="24">
        <v>2977.27</v>
      </c>
      <c r="BI268" s="24">
        <v>7326.12</v>
      </c>
      <c r="BJ268" s="9">
        <f t="shared" si="96"/>
        <v>41111.03</v>
      </c>
      <c r="BK268" s="9">
        <f t="shared" si="97"/>
        <v>89796.78999999998</v>
      </c>
      <c r="BL268" s="153">
        <f t="shared" si="98"/>
        <v>130907.81999999998</v>
      </c>
      <c r="BM268" s="154"/>
      <c r="BN268" s="154"/>
      <c r="BO268" s="154"/>
      <c r="BP268" s="154"/>
      <c r="BQ268" s="154"/>
      <c r="BR268" s="155">
        <f t="shared" si="113"/>
        <v>130907.81999999998</v>
      </c>
      <c r="BS268" s="198">
        <v>1568.62</v>
      </c>
      <c r="BT268" s="199"/>
      <c r="BU268" s="20">
        <f t="shared" si="112"/>
        <v>-781371.374</v>
      </c>
      <c r="BV268" s="231">
        <v>460829.11</v>
      </c>
      <c r="BW268" s="229"/>
      <c r="BX268" s="230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</row>
    <row r="269" spans="1:111" s="17" customFormat="1" ht="15.75">
      <c r="A269" s="1">
        <v>262</v>
      </c>
      <c r="B269" s="1" t="s">
        <v>243</v>
      </c>
      <c r="C269" s="1">
        <v>531.3</v>
      </c>
      <c r="D269" s="1">
        <v>0</v>
      </c>
      <c r="E269" s="1">
        <f t="shared" si="100"/>
        <v>531.3</v>
      </c>
      <c r="F269" s="2">
        <v>9.82</v>
      </c>
      <c r="G269" s="2">
        <f t="shared" si="114"/>
        <v>5217.366</v>
      </c>
      <c r="H269" s="2">
        <f t="shared" si="93"/>
        <v>31304.196</v>
      </c>
      <c r="I269" s="2">
        <f t="shared" si="101"/>
        <v>9.82</v>
      </c>
      <c r="J269" s="2">
        <f t="shared" si="102"/>
        <v>5217.366</v>
      </c>
      <c r="K269" s="2">
        <f t="shared" si="94"/>
        <v>31304.196</v>
      </c>
      <c r="L269" s="97">
        <f t="shared" si="99"/>
        <v>62608.392</v>
      </c>
      <c r="M269" s="109">
        <v>3.92</v>
      </c>
      <c r="N269" s="89">
        <f t="shared" si="103"/>
        <v>24992.352</v>
      </c>
      <c r="O269" s="64">
        <v>1.46</v>
      </c>
      <c r="P269" s="90">
        <f t="shared" si="104"/>
        <v>9308.375999999998</v>
      </c>
      <c r="Q269" s="64"/>
      <c r="R269" s="90">
        <f t="shared" si="105"/>
        <v>0</v>
      </c>
      <c r="S269" s="64"/>
      <c r="T269" s="91">
        <f t="shared" si="106"/>
        <v>0</v>
      </c>
      <c r="U269" s="64">
        <v>0</v>
      </c>
      <c r="V269" s="90">
        <f t="shared" si="107"/>
        <v>0</v>
      </c>
      <c r="W269" s="96"/>
      <c r="X269" s="91">
        <f t="shared" si="108"/>
        <v>0</v>
      </c>
      <c r="Y269" s="110">
        <f t="shared" si="111"/>
        <v>34300.727999999996</v>
      </c>
      <c r="Z269" s="32">
        <v>-175786.3</v>
      </c>
      <c r="AA269" s="12">
        <f t="shared" si="109"/>
        <v>-2.8077114646228254</v>
      </c>
      <c r="AB269" s="25">
        <f t="shared" si="110"/>
        <v>-113177.908</v>
      </c>
      <c r="AC269" s="44"/>
      <c r="AD269" s="8">
        <f t="shared" si="95"/>
        <v>-113177.908</v>
      </c>
      <c r="AE269" s="167">
        <v>22861.631999999998</v>
      </c>
      <c r="AF269" s="168">
        <v>1053.4254631176616</v>
      </c>
      <c r="AG269" s="168">
        <v>851.7105368823381</v>
      </c>
      <c r="AH269" s="168">
        <v>12641.10555741194</v>
      </c>
      <c r="AI269" s="168">
        <v>10220.526442588058</v>
      </c>
      <c r="AJ269" s="59" t="s">
        <v>299</v>
      </c>
      <c r="AK269" s="26" t="s">
        <v>352</v>
      </c>
      <c r="AL269" s="45">
        <v>40821.81</v>
      </c>
      <c r="AM269" s="45">
        <v>2296.55</v>
      </c>
      <c r="AN269" s="2">
        <v>2160</v>
      </c>
      <c r="AO269" s="2">
        <v>3193.64</v>
      </c>
      <c r="AP269" s="1">
        <v>1298.36</v>
      </c>
      <c r="AQ269" s="1">
        <v>21517.95</v>
      </c>
      <c r="AR269" s="24">
        <v>0</v>
      </c>
      <c r="AS269" s="24">
        <v>4045.44</v>
      </c>
      <c r="AT269" s="1">
        <v>0</v>
      </c>
      <c r="AU269" s="1">
        <v>1796.18</v>
      </c>
      <c r="AV269" s="24">
        <v>0</v>
      </c>
      <c r="AW269" s="24">
        <v>1680.45</v>
      </c>
      <c r="AX269" s="45">
        <v>0</v>
      </c>
      <c r="AY269" s="45">
        <v>1680.45</v>
      </c>
      <c r="AZ269" s="24">
        <v>32869.63</v>
      </c>
      <c r="BA269" s="24">
        <v>1680.45</v>
      </c>
      <c r="BB269" s="24">
        <v>9936</v>
      </c>
      <c r="BC269" s="24">
        <v>5931.62</v>
      </c>
      <c r="BD269" s="24">
        <v>0</v>
      </c>
      <c r="BE269" s="24">
        <v>4699.85</v>
      </c>
      <c r="BF269" s="24">
        <v>6310.25</v>
      </c>
      <c r="BG269" s="24">
        <v>16024.44</v>
      </c>
      <c r="BH269" s="24">
        <v>0</v>
      </c>
      <c r="BI269" s="24">
        <v>2787.94</v>
      </c>
      <c r="BJ269" s="9">
        <f t="shared" si="96"/>
        <v>93396.04999999999</v>
      </c>
      <c r="BK269" s="9">
        <f t="shared" si="97"/>
        <v>67334.95999999999</v>
      </c>
      <c r="BL269" s="153">
        <f t="shared" si="98"/>
        <v>160731.00999999998</v>
      </c>
      <c r="BM269" s="154"/>
      <c r="BN269" s="154"/>
      <c r="BO269" s="154"/>
      <c r="BP269" s="154"/>
      <c r="BQ269" s="154"/>
      <c r="BR269" s="155">
        <f t="shared" si="113"/>
        <v>160731.00999999998</v>
      </c>
      <c r="BS269" s="198">
        <v>1552.27</v>
      </c>
      <c r="BT269" s="199"/>
      <c r="BU269" s="20">
        <f t="shared" si="112"/>
        <v>-272356.6479999999</v>
      </c>
      <c r="BV269" s="231">
        <v>806611.78</v>
      </c>
      <c r="BW269" s="229"/>
      <c r="BX269" s="230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</row>
    <row r="270" spans="1:76" ht="15.75">
      <c r="A270" s="1">
        <v>263</v>
      </c>
      <c r="B270" s="1" t="s">
        <v>244</v>
      </c>
      <c r="C270" s="1">
        <v>527.1</v>
      </c>
      <c r="D270" s="1">
        <v>0</v>
      </c>
      <c r="E270" s="1">
        <f t="shared" si="100"/>
        <v>527.1</v>
      </c>
      <c r="F270" s="2">
        <v>13.78</v>
      </c>
      <c r="G270" s="2">
        <f t="shared" si="114"/>
        <v>7263.438</v>
      </c>
      <c r="H270" s="2">
        <f t="shared" si="93"/>
        <v>43580.628</v>
      </c>
      <c r="I270" s="2">
        <f t="shared" si="101"/>
        <v>13.78</v>
      </c>
      <c r="J270" s="2">
        <f t="shared" si="102"/>
        <v>7263.438</v>
      </c>
      <c r="K270" s="2">
        <f t="shared" si="94"/>
        <v>43580.628</v>
      </c>
      <c r="L270" s="97">
        <f t="shared" si="99"/>
        <v>87161.256</v>
      </c>
      <c r="M270" s="109">
        <v>3.92</v>
      </c>
      <c r="N270" s="89">
        <f t="shared" si="103"/>
        <v>24794.784</v>
      </c>
      <c r="O270" s="64">
        <v>1.46</v>
      </c>
      <c r="P270" s="90">
        <f t="shared" si="104"/>
        <v>9234.792000000001</v>
      </c>
      <c r="Q270" s="64"/>
      <c r="R270" s="90">
        <f t="shared" si="105"/>
        <v>0</v>
      </c>
      <c r="S270" s="64"/>
      <c r="T270" s="91">
        <f t="shared" si="106"/>
        <v>0</v>
      </c>
      <c r="U270" s="64">
        <v>2.18</v>
      </c>
      <c r="V270" s="90">
        <f t="shared" si="107"/>
        <v>13788.936000000002</v>
      </c>
      <c r="W270" s="96"/>
      <c r="X270" s="91">
        <f t="shared" si="108"/>
        <v>0</v>
      </c>
      <c r="Y270" s="110">
        <f t="shared" si="111"/>
        <v>47818.512</v>
      </c>
      <c r="Z270" s="32">
        <v>-75352.7</v>
      </c>
      <c r="AA270" s="12">
        <f t="shared" si="109"/>
        <v>-0.8645205846964849</v>
      </c>
      <c r="AB270" s="25">
        <f t="shared" si="110"/>
        <v>11808.555999999997</v>
      </c>
      <c r="AC270" s="44"/>
      <c r="AD270" s="8">
        <f t="shared" si="95"/>
        <v>11808.555999999997</v>
      </c>
      <c r="AE270" s="167">
        <v>19964.544</v>
      </c>
      <c r="AF270" s="168">
        <v>347.8116125507113</v>
      </c>
      <c r="AG270" s="168">
        <v>636.2347207826206</v>
      </c>
      <c r="AH270" s="168">
        <v>4173.7393506085355</v>
      </c>
      <c r="AI270" s="168">
        <v>7634.816649391447</v>
      </c>
      <c r="AJ270" s="26" t="s">
        <v>296</v>
      </c>
      <c r="AK270" s="26" t="s">
        <v>352</v>
      </c>
      <c r="AL270" s="45">
        <v>0</v>
      </c>
      <c r="AM270" s="45">
        <v>1668.98</v>
      </c>
      <c r="AN270" s="2">
        <v>0</v>
      </c>
      <c r="AO270" s="2">
        <v>3002.17</v>
      </c>
      <c r="AP270" s="1">
        <v>0</v>
      </c>
      <c r="AQ270" s="1">
        <v>3002.17</v>
      </c>
      <c r="AR270" s="24">
        <v>0</v>
      </c>
      <c r="AS270" s="24">
        <v>4033.97</v>
      </c>
      <c r="AT270" s="1">
        <v>0</v>
      </c>
      <c r="AU270" s="1">
        <v>1668.98</v>
      </c>
      <c r="AV270" s="24">
        <v>0</v>
      </c>
      <c r="AW270" s="24">
        <v>13241.84</v>
      </c>
      <c r="AX270" s="45">
        <v>0</v>
      </c>
      <c r="AY270" s="45">
        <v>1668.98</v>
      </c>
      <c r="AZ270" s="24">
        <v>0</v>
      </c>
      <c r="BA270" s="24">
        <v>1668.98</v>
      </c>
      <c r="BB270" s="24">
        <v>0</v>
      </c>
      <c r="BC270" s="24">
        <v>1668.98</v>
      </c>
      <c r="BD270" s="24">
        <v>6480</v>
      </c>
      <c r="BE270" s="24">
        <v>4778.38</v>
      </c>
      <c r="BF270" s="24">
        <v>1364.44</v>
      </c>
      <c r="BG270" s="24">
        <v>3176.98</v>
      </c>
      <c r="BH270" s="24">
        <v>0</v>
      </c>
      <c r="BI270" s="24">
        <v>4084.5</v>
      </c>
      <c r="BJ270" s="9">
        <f t="shared" si="96"/>
        <v>7844.4400000000005</v>
      </c>
      <c r="BK270" s="9">
        <f t="shared" si="97"/>
        <v>43664.91</v>
      </c>
      <c r="BL270" s="153">
        <f t="shared" si="98"/>
        <v>51509.350000000006</v>
      </c>
      <c r="BM270" s="154"/>
      <c r="BN270" s="154">
        <v>2189.64</v>
      </c>
      <c r="BO270" s="154"/>
      <c r="BP270" s="154"/>
      <c r="BQ270" s="154"/>
      <c r="BR270" s="155">
        <f t="shared" si="113"/>
        <v>53698.990000000005</v>
      </c>
      <c r="BS270" s="198">
        <v>1539.13</v>
      </c>
      <c r="BT270" s="199">
        <v>13836</v>
      </c>
      <c r="BU270" s="20">
        <f t="shared" si="112"/>
        <v>-40351.30400000001</v>
      </c>
      <c r="BV270" s="231">
        <v>668403.03</v>
      </c>
      <c r="BW270" s="229"/>
      <c r="BX270" s="230"/>
    </row>
    <row r="271" spans="1:76" ht="15.75">
      <c r="A271" s="1">
        <v>264</v>
      </c>
      <c r="B271" s="1" t="s">
        <v>245</v>
      </c>
      <c r="C271" s="1">
        <v>400.6</v>
      </c>
      <c r="D271" s="1">
        <v>0</v>
      </c>
      <c r="E271" s="1">
        <f t="shared" si="100"/>
        <v>400.6</v>
      </c>
      <c r="F271" s="2">
        <v>10.34</v>
      </c>
      <c r="G271" s="2">
        <f t="shared" si="114"/>
        <v>4142.204</v>
      </c>
      <c r="H271" s="2">
        <f t="shared" si="93"/>
        <v>24853.224</v>
      </c>
      <c r="I271" s="2">
        <f t="shared" si="101"/>
        <v>10.34</v>
      </c>
      <c r="J271" s="2">
        <f t="shared" si="102"/>
        <v>4142.204</v>
      </c>
      <c r="K271" s="2">
        <f t="shared" si="94"/>
        <v>24853.224</v>
      </c>
      <c r="L271" s="97">
        <f t="shared" si="99"/>
        <v>49706.448</v>
      </c>
      <c r="M271" s="109">
        <v>3.92</v>
      </c>
      <c r="N271" s="89">
        <f t="shared" si="103"/>
        <v>18844.224000000002</v>
      </c>
      <c r="O271" s="64">
        <v>1.46</v>
      </c>
      <c r="P271" s="90">
        <f t="shared" si="104"/>
        <v>7018.512</v>
      </c>
      <c r="Q271" s="64"/>
      <c r="R271" s="90">
        <f t="shared" si="105"/>
        <v>0</v>
      </c>
      <c r="S271" s="64"/>
      <c r="T271" s="91">
        <f t="shared" si="106"/>
        <v>0</v>
      </c>
      <c r="U271" s="64">
        <v>0</v>
      </c>
      <c r="V271" s="90">
        <f t="shared" si="107"/>
        <v>0</v>
      </c>
      <c r="W271" s="96"/>
      <c r="X271" s="91">
        <f t="shared" si="108"/>
        <v>0</v>
      </c>
      <c r="Y271" s="110">
        <f t="shared" si="111"/>
        <v>25862.736</v>
      </c>
      <c r="Z271" s="32">
        <v>-180771.56</v>
      </c>
      <c r="AA271" s="12">
        <f t="shared" si="109"/>
        <v>-3.6367828978646797</v>
      </c>
      <c r="AB271" s="25">
        <f t="shared" si="110"/>
        <v>-131065.112</v>
      </c>
      <c r="AC271" s="44"/>
      <c r="AD271" s="8">
        <f t="shared" si="95"/>
        <v>-131065.112</v>
      </c>
      <c r="AE271" s="167">
        <v>15835.584</v>
      </c>
      <c r="AF271" s="168">
        <v>0</v>
      </c>
      <c r="AG271" s="169">
        <v>1319.63</v>
      </c>
      <c r="AH271" s="168">
        <v>0</v>
      </c>
      <c r="AI271" s="167">
        <v>15835.584</v>
      </c>
      <c r="AJ271" s="59" t="s">
        <v>299</v>
      </c>
      <c r="AK271" s="26" t="s">
        <v>352</v>
      </c>
      <c r="AL271" s="45">
        <v>0</v>
      </c>
      <c r="AM271" s="45">
        <v>5748.88</v>
      </c>
      <c r="AN271" s="2">
        <v>0</v>
      </c>
      <c r="AO271" s="2">
        <v>2656.83</v>
      </c>
      <c r="AP271" s="1">
        <v>0</v>
      </c>
      <c r="AQ271" s="1">
        <v>2656.83</v>
      </c>
      <c r="AR271" s="24">
        <v>0</v>
      </c>
      <c r="AS271" s="24">
        <v>3688.63</v>
      </c>
      <c r="AT271" s="1">
        <v>0</v>
      </c>
      <c r="AU271" s="1">
        <v>1323.64</v>
      </c>
      <c r="AV271" s="24">
        <v>0</v>
      </c>
      <c r="AW271" s="24">
        <v>1323.64</v>
      </c>
      <c r="AX271" s="45">
        <v>0</v>
      </c>
      <c r="AY271" s="45">
        <v>1323.64</v>
      </c>
      <c r="AZ271" s="24">
        <v>0</v>
      </c>
      <c r="BA271" s="24">
        <v>1323.64</v>
      </c>
      <c r="BB271" s="24">
        <v>0</v>
      </c>
      <c r="BC271" s="24">
        <v>1323.64</v>
      </c>
      <c r="BD271" s="24">
        <v>0</v>
      </c>
      <c r="BE271" s="24">
        <v>26328.87</v>
      </c>
      <c r="BF271" s="24">
        <v>1364.44</v>
      </c>
      <c r="BG271" s="24">
        <v>2831.64</v>
      </c>
      <c r="BH271" s="24">
        <v>0</v>
      </c>
      <c r="BI271" s="24">
        <v>1323.64</v>
      </c>
      <c r="BJ271" s="9">
        <f t="shared" si="96"/>
        <v>1364.44</v>
      </c>
      <c r="BK271" s="9">
        <f t="shared" si="97"/>
        <v>51853.51999999999</v>
      </c>
      <c r="BL271" s="153">
        <f t="shared" si="98"/>
        <v>53217.95999999999</v>
      </c>
      <c r="BM271" s="154"/>
      <c r="BN271" s="154">
        <f>2619.39+1644.6</f>
        <v>4263.99</v>
      </c>
      <c r="BO271" s="154"/>
      <c r="BP271" s="154"/>
      <c r="BQ271" s="154"/>
      <c r="BR271" s="155">
        <f t="shared" si="113"/>
        <v>57481.94999999999</v>
      </c>
      <c r="BS271" s="198">
        <v>1169.75</v>
      </c>
      <c r="BT271" s="199"/>
      <c r="BU271" s="20">
        <f t="shared" si="112"/>
        <v>-187377.31199999998</v>
      </c>
      <c r="BV271" s="231">
        <v>10671.78</v>
      </c>
      <c r="BW271" s="229"/>
      <c r="BX271" s="230"/>
    </row>
    <row r="272" spans="1:76" ht="15.75">
      <c r="A272" s="1">
        <v>265</v>
      </c>
      <c r="B272" s="1" t="s">
        <v>246</v>
      </c>
      <c r="C272" s="1">
        <v>5906.18</v>
      </c>
      <c r="D272" s="1">
        <v>0</v>
      </c>
      <c r="E272" s="1">
        <f t="shared" si="100"/>
        <v>5906.18</v>
      </c>
      <c r="F272" s="2">
        <v>15.85</v>
      </c>
      <c r="G272" s="2">
        <f t="shared" si="114"/>
        <v>93612.95300000001</v>
      </c>
      <c r="H272" s="2">
        <f t="shared" si="93"/>
        <v>561677.7180000001</v>
      </c>
      <c r="I272" s="2">
        <f t="shared" si="101"/>
        <v>15.85</v>
      </c>
      <c r="J272" s="2">
        <f t="shared" si="102"/>
        <v>93612.95300000001</v>
      </c>
      <c r="K272" s="2">
        <f t="shared" si="94"/>
        <v>561677.7180000001</v>
      </c>
      <c r="L272" s="97">
        <f t="shared" si="99"/>
        <v>1123355.4360000002</v>
      </c>
      <c r="M272" s="109">
        <v>3.92</v>
      </c>
      <c r="N272" s="89">
        <f t="shared" si="103"/>
        <v>277826.7072</v>
      </c>
      <c r="O272" s="64">
        <v>1.46</v>
      </c>
      <c r="P272" s="90">
        <f t="shared" si="104"/>
        <v>103476.27360000001</v>
      </c>
      <c r="Q272" s="64">
        <v>0.52</v>
      </c>
      <c r="R272" s="90">
        <f t="shared" si="105"/>
        <v>36854.563200000004</v>
      </c>
      <c r="S272" s="64">
        <v>0.89</v>
      </c>
      <c r="T272" s="91">
        <f t="shared" si="106"/>
        <v>63078.002400000005</v>
      </c>
      <c r="U272" s="64">
        <v>0.25</v>
      </c>
      <c r="V272" s="90">
        <f t="shared" si="107"/>
        <v>17718.54</v>
      </c>
      <c r="W272" s="96"/>
      <c r="X272" s="91">
        <f t="shared" si="108"/>
        <v>0</v>
      </c>
      <c r="Y272" s="110">
        <f t="shared" si="111"/>
        <v>498954.0864</v>
      </c>
      <c r="Z272" s="32"/>
      <c r="AA272" s="12">
        <f t="shared" si="109"/>
        <v>0</v>
      </c>
      <c r="AB272" s="25">
        <f t="shared" si="110"/>
        <v>1123355.4360000002</v>
      </c>
      <c r="AC272" s="44"/>
      <c r="AD272" s="8">
        <f t="shared" si="95"/>
        <v>1123355.4360000002</v>
      </c>
      <c r="AE272" s="167">
        <v>384392.23679999996</v>
      </c>
      <c r="AF272" s="168">
        <v>54526.986591205845</v>
      </c>
      <c r="AG272" s="168">
        <v>39085.96640879416</v>
      </c>
      <c r="AH272" s="168">
        <v>654323.8390944701</v>
      </c>
      <c r="AI272" s="168">
        <v>469031.5969055299</v>
      </c>
      <c r="AJ272" s="59"/>
      <c r="AK272" s="59"/>
      <c r="AL272" s="45">
        <v>68745.92</v>
      </c>
      <c r="AM272" s="45">
        <v>25045.57</v>
      </c>
      <c r="AN272" s="2">
        <v>121806.66</v>
      </c>
      <c r="AO272" s="2">
        <v>25997.15</v>
      </c>
      <c r="AP272" s="1">
        <v>107327.39</v>
      </c>
      <c r="AQ272" s="1">
        <v>17687.61</v>
      </c>
      <c r="AR272" s="24">
        <v>748833.94</v>
      </c>
      <c r="AS272" s="24">
        <v>25290.98</v>
      </c>
      <c r="AT272" s="1">
        <v>28190.23</v>
      </c>
      <c r="AU272" s="1">
        <v>21828.28</v>
      </c>
      <c r="AV272" s="24">
        <v>29340.28</v>
      </c>
      <c r="AW272" s="24">
        <v>54476.92</v>
      </c>
      <c r="AX272" s="45">
        <v>28048.48</v>
      </c>
      <c r="AY272" s="45">
        <v>29846.97</v>
      </c>
      <c r="AZ272" s="24">
        <v>105315.91</v>
      </c>
      <c r="BA272" s="24">
        <v>18186.49</v>
      </c>
      <c r="BB272" s="24">
        <v>93010.43</v>
      </c>
      <c r="BC272" s="24">
        <v>35302.61</v>
      </c>
      <c r="BD272" s="24">
        <v>17778.98</v>
      </c>
      <c r="BE272" s="24">
        <v>27204.81</v>
      </c>
      <c r="BF272" s="24">
        <v>24387.27</v>
      </c>
      <c r="BG272" s="24">
        <v>102107.39</v>
      </c>
      <c r="BH272" s="24">
        <v>59181.16</v>
      </c>
      <c r="BI272" s="24">
        <v>25377.44</v>
      </c>
      <c r="BJ272" s="9">
        <f t="shared" si="96"/>
        <v>1431966.6499999997</v>
      </c>
      <c r="BK272" s="9">
        <f t="shared" si="97"/>
        <v>408352.22000000003</v>
      </c>
      <c r="BL272" s="153">
        <f t="shared" si="98"/>
        <v>1840318.8699999996</v>
      </c>
      <c r="BM272" s="154"/>
      <c r="BN272" s="154"/>
      <c r="BO272" s="154">
        <v>4594.96</v>
      </c>
      <c r="BP272" s="154"/>
      <c r="BQ272" s="154"/>
      <c r="BR272" s="155">
        <f t="shared" si="113"/>
        <v>1844913.8299999996</v>
      </c>
      <c r="BS272" s="198">
        <v>8631.05</v>
      </c>
      <c r="BT272" s="199">
        <v>4128</v>
      </c>
      <c r="BU272" s="20">
        <f t="shared" si="112"/>
        <v>-712927.3439999993</v>
      </c>
      <c r="BV272" s="231">
        <v>4372568.56</v>
      </c>
      <c r="BW272" s="229"/>
      <c r="BX272" s="230"/>
    </row>
    <row r="273" spans="1:76" ht="15.75">
      <c r="A273" s="1">
        <v>266</v>
      </c>
      <c r="B273" s="1" t="s">
        <v>247</v>
      </c>
      <c r="C273" s="1">
        <v>3834.6</v>
      </c>
      <c r="D273" s="1">
        <v>0</v>
      </c>
      <c r="E273" s="1">
        <f t="shared" si="100"/>
        <v>3834.6</v>
      </c>
      <c r="F273" s="2">
        <v>15.87</v>
      </c>
      <c r="G273" s="2">
        <f t="shared" si="114"/>
        <v>60855.102</v>
      </c>
      <c r="H273" s="2">
        <f t="shared" si="93"/>
        <v>365130.61199999996</v>
      </c>
      <c r="I273" s="2">
        <f t="shared" si="101"/>
        <v>15.87</v>
      </c>
      <c r="J273" s="2">
        <f t="shared" si="102"/>
        <v>60855.102</v>
      </c>
      <c r="K273" s="2">
        <f t="shared" si="94"/>
        <v>365130.61199999996</v>
      </c>
      <c r="L273" s="97">
        <f t="shared" si="99"/>
        <v>730261.2239999999</v>
      </c>
      <c r="M273" s="109">
        <v>3.92</v>
      </c>
      <c r="N273" s="89">
        <f t="shared" si="103"/>
        <v>180379.584</v>
      </c>
      <c r="O273" s="64">
        <v>1.46</v>
      </c>
      <c r="P273" s="90">
        <f t="shared" si="104"/>
        <v>67182.192</v>
      </c>
      <c r="Q273" s="64"/>
      <c r="R273" s="90">
        <f t="shared" si="105"/>
        <v>0</v>
      </c>
      <c r="S273" s="64"/>
      <c r="T273" s="91">
        <f t="shared" si="106"/>
        <v>0</v>
      </c>
      <c r="U273" s="64">
        <v>0.48</v>
      </c>
      <c r="V273" s="90">
        <f t="shared" si="107"/>
        <v>22087.296</v>
      </c>
      <c r="W273" s="96"/>
      <c r="X273" s="91">
        <f t="shared" si="108"/>
        <v>0</v>
      </c>
      <c r="Y273" s="110">
        <f t="shared" si="111"/>
        <v>269649.072</v>
      </c>
      <c r="Z273" s="32"/>
      <c r="AA273" s="12">
        <f t="shared" si="109"/>
        <v>0</v>
      </c>
      <c r="AB273" s="25">
        <f t="shared" si="110"/>
        <v>730261.2239999999</v>
      </c>
      <c r="AC273" s="44"/>
      <c r="AD273" s="8">
        <f t="shared" si="95"/>
        <v>730261.2239999999</v>
      </c>
      <c r="AE273" s="167">
        <v>250321.776</v>
      </c>
      <c r="AF273" s="168">
        <v>35390.54920500903</v>
      </c>
      <c r="AG273" s="168">
        <v>25464.55279499097</v>
      </c>
      <c r="AH273" s="168">
        <v>424686.59046010836</v>
      </c>
      <c r="AI273" s="168">
        <v>305574.6335398916</v>
      </c>
      <c r="AJ273" s="59"/>
      <c r="AK273" s="59"/>
      <c r="AL273" s="45">
        <v>11906.73</v>
      </c>
      <c r="AM273" s="45">
        <v>10698.46</v>
      </c>
      <c r="AN273" s="2">
        <v>175664.32</v>
      </c>
      <c r="AO273" s="2">
        <v>51613.2</v>
      </c>
      <c r="AP273" s="1">
        <v>36743.32</v>
      </c>
      <c r="AQ273" s="1">
        <v>73806.21</v>
      </c>
      <c r="AR273" s="24">
        <v>9889.77</v>
      </c>
      <c r="AS273" s="24">
        <v>11396.96</v>
      </c>
      <c r="AT273" s="1">
        <v>21483.15</v>
      </c>
      <c r="AU273" s="1">
        <v>13113.98</v>
      </c>
      <c r="AV273" s="24">
        <v>31794.77</v>
      </c>
      <c r="AW273" s="24">
        <v>16689.66</v>
      </c>
      <c r="AX273" s="45">
        <v>56181.01</v>
      </c>
      <c r="AY273" s="45">
        <v>10698.46</v>
      </c>
      <c r="AZ273" s="24">
        <v>46537.02</v>
      </c>
      <c r="BA273" s="24">
        <v>28364.81</v>
      </c>
      <c r="BB273" s="24">
        <v>33527.57</v>
      </c>
      <c r="BC273" s="24">
        <v>31512.03</v>
      </c>
      <c r="BD273" s="24">
        <v>10894.99</v>
      </c>
      <c r="BE273" s="24">
        <v>50959.08</v>
      </c>
      <c r="BF273" s="24">
        <v>13173.83</v>
      </c>
      <c r="BG273" s="24">
        <v>18301.11</v>
      </c>
      <c r="BH273" s="24">
        <v>12590.87</v>
      </c>
      <c r="BI273" s="24">
        <v>13939.01</v>
      </c>
      <c r="BJ273" s="9">
        <f t="shared" si="96"/>
        <v>460387.35000000003</v>
      </c>
      <c r="BK273" s="9">
        <f t="shared" si="97"/>
        <v>331092.97</v>
      </c>
      <c r="BL273" s="153">
        <f t="shared" si="98"/>
        <v>791480.3200000001</v>
      </c>
      <c r="BM273" s="154"/>
      <c r="BN273" s="154"/>
      <c r="BO273" s="154"/>
      <c r="BP273" s="154"/>
      <c r="BQ273" s="154"/>
      <c r="BR273" s="155">
        <f t="shared" si="113"/>
        <v>791480.3200000001</v>
      </c>
      <c r="BS273" s="198"/>
      <c r="BT273" s="199">
        <v>4128</v>
      </c>
      <c r="BU273" s="20">
        <f t="shared" si="112"/>
        <v>-61219.096000000136</v>
      </c>
      <c r="BV273" s="231">
        <v>216068.56</v>
      </c>
      <c r="BW273" s="229"/>
      <c r="BX273" s="230"/>
    </row>
    <row r="274" spans="1:76" ht="15.75">
      <c r="A274" s="1">
        <v>267</v>
      </c>
      <c r="B274" s="1" t="s">
        <v>248</v>
      </c>
      <c r="C274" s="1">
        <v>453.7</v>
      </c>
      <c r="D274" s="1">
        <v>0</v>
      </c>
      <c r="E274" s="1">
        <f t="shared" si="100"/>
        <v>453.7</v>
      </c>
      <c r="F274" s="2">
        <v>6.73</v>
      </c>
      <c r="G274" s="2">
        <f t="shared" si="114"/>
        <v>3053.4010000000003</v>
      </c>
      <c r="H274" s="2">
        <f t="shared" si="93"/>
        <v>18320.406000000003</v>
      </c>
      <c r="I274" s="2">
        <f t="shared" si="101"/>
        <v>6.73</v>
      </c>
      <c r="J274" s="2">
        <f t="shared" si="102"/>
        <v>3053.4010000000003</v>
      </c>
      <c r="K274" s="2">
        <f t="shared" si="94"/>
        <v>18320.406000000003</v>
      </c>
      <c r="L274" s="97">
        <f t="shared" si="99"/>
        <v>36640.812000000005</v>
      </c>
      <c r="M274" s="109">
        <v>3.92</v>
      </c>
      <c r="N274" s="89">
        <f t="shared" si="103"/>
        <v>21342.048</v>
      </c>
      <c r="O274" s="64"/>
      <c r="P274" s="90">
        <f t="shared" si="104"/>
        <v>0</v>
      </c>
      <c r="Q274" s="64"/>
      <c r="R274" s="90">
        <f t="shared" si="105"/>
        <v>0</v>
      </c>
      <c r="S274" s="64"/>
      <c r="T274" s="91">
        <f t="shared" si="106"/>
        <v>0</v>
      </c>
      <c r="U274" s="64">
        <v>0</v>
      </c>
      <c r="V274" s="90">
        <f t="shared" si="107"/>
        <v>0</v>
      </c>
      <c r="W274" s="96">
        <v>3.01</v>
      </c>
      <c r="X274" s="91">
        <f t="shared" si="108"/>
        <v>16387.644</v>
      </c>
      <c r="Y274" s="110">
        <f t="shared" si="111"/>
        <v>37729.691999999995</v>
      </c>
      <c r="Z274" s="32"/>
      <c r="AA274" s="12">
        <f t="shared" si="109"/>
        <v>0</v>
      </c>
      <c r="AB274" s="25">
        <f t="shared" si="110"/>
        <v>36640.812000000005</v>
      </c>
      <c r="AC274" s="44"/>
      <c r="AD274" s="8">
        <f t="shared" si="95"/>
        <v>36640.812000000005</v>
      </c>
      <c r="AE274" s="167">
        <v>14808.768</v>
      </c>
      <c r="AF274" s="168">
        <v>0</v>
      </c>
      <c r="AG274" s="168">
        <v>3053.4010000000003</v>
      </c>
      <c r="AH274" s="168">
        <v>0</v>
      </c>
      <c r="AI274" s="168">
        <v>36640.812000000005</v>
      </c>
      <c r="AJ274" s="26" t="s">
        <v>296</v>
      </c>
      <c r="AK274" s="26"/>
      <c r="AL274" s="45">
        <v>0</v>
      </c>
      <c r="AM274" s="45">
        <v>1238.6</v>
      </c>
      <c r="AN274" s="2">
        <v>0</v>
      </c>
      <c r="AO274" s="2">
        <v>1238.6</v>
      </c>
      <c r="AP274" s="1">
        <v>0</v>
      </c>
      <c r="AQ274" s="1">
        <v>1238.6</v>
      </c>
      <c r="AR274" s="24">
        <v>0</v>
      </c>
      <c r="AS274" s="24">
        <v>1937.1</v>
      </c>
      <c r="AT274" s="1">
        <v>0</v>
      </c>
      <c r="AU274" s="1">
        <v>1238.6</v>
      </c>
      <c r="AV274" s="24">
        <v>0</v>
      </c>
      <c r="AW274" s="24">
        <v>1238.6</v>
      </c>
      <c r="AX274" s="45">
        <v>0</v>
      </c>
      <c r="AY274" s="45">
        <v>1926.99</v>
      </c>
      <c r="AZ274" s="24">
        <v>0</v>
      </c>
      <c r="BA274" s="24">
        <v>1238.6</v>
      </c>
      <c r="BB274" s="24">
        <v>0</v>
      </c>
      <c r="BC274" s="24">
        <v>1238.6</v>
      </c>
      <c r="BD274" s="24">
        <v>0</v>
      </c>
      <c r="BE274" s="24">
        <v>1238.6</v>
      </c>
      <c r="BF274" s="24">
        <v>0</v>
      </c>
      <c r="BG274" s="24">
        <v>2064.6</v>
      </c>
      <c r="BH274" s="24">
        <v>0</v>
      </c>
      <c r="BI274" s="24">
        <v>1238.6</v>
      </c>
      <c r="BJ274" s="9">
        <f t="shared" si="96"/>
        <v>0</v>
      </c>
      <c r="BK274" s="9">
        <f t="shared" si="97"/>
        <v>17076.09</v>
      </c>
      <c r="BL274" s="153">
        <f t="shared" si="98"/>
        <v>17076.09</v>
      </c>
      <c r="BM274" s="154"/>
      <c r="BN274" s="154"/>
      <c r="BO274" s="154"/>
      <c r="BP274" s="154"/>
      <c r="BQ274" s="154"/>
      <c r="BR274" s="155">
        <f t="shared" si="113"/>
        <v>17076.09</v>
      </c>
      <c r="BS274" s="198"/>
      <c r="BT274" s="199"/>
      <c r="BU274" s="20">
        <f t="shared" si="112"/>
        <v>19564.722000000005</v>
      </c>
      <c r="BV274" s="231">
        <v>501999.45</v>
      </c>
      <c r="BW274" s="229"/>
      <c r="BX274" s="230"/>
    </row>
    <row r="275" spans="1:76" ht="15.75">
      <c r="A275" s="1">
        <v>268</v>
      </c>
      <c r="B275" s="1" t="s">
        <v>249</v>
      </c>
      <c r="C275" s="1">
        <v>479.7</v>
      </c>
      <c r="D275" s="1">
        <v>0</v>
      </c>
      <c r="E275" s="1">
        <f t="shared" si="100"/>
        <v>479.7</v>
      </c>
      <c r="F275" s="2">
        <v>9.94</v>
      </c>
      <c r="G275" s="2">
        <f t="shared" si="114"/>
        <v>4768.218</v>
      </c>
      <c r="H275" s="2">
        <f t="shared" si="93"/>
        <v>28609.307999999997</v>
      </c>
      <c r="I275" s="2">
        <f t="shared" si="101"/>
        <v>9.94</v>
      </c>
      <c r="J275" s="2">
        <f t="shared" si="102"/>
        <v>4768.218</v>
      </c>
      <c r="K275" s="2">
        <f t="shared" si="94"/>
        <v>28609.307999999997</v>
      </c>
      <c r="L275" s="97">
        <f t="shared" si="99"/>
        <v>57218.615999999995</v>
      </c>
      <c r="M275" s="109">
        <v>3.92</v>
      </c>
      <c r="N275" s="89">
        <f t="shared" si="103"/>
        <v>22565.088</v>
      </c>
      <c r="O275" s="64">
        <v>1.46</v>
      </c>
      <c r="P275" s="90">
        <f t="shared" si="104"/>
        <v>8404.344</v>
      </c>
      <c r="Q275" s="64"/>
      <c r="R275" s="90">
        <f t="shared" si="105"/>
        <v>0</v>
      </c>
      <c r="S275" s="64"/>
      <c r="T275" s="91">
        <f t="shared" si="106"/>
        <v>0</v>
      </c>
      <c r="U275" s="64">
        <v>0</v>
      </c>
      <c r="V275" s="90">
        <f t="shared" si="107"/>
        <v>0</v>
      </c>
      <c r="W275" s="96">
        <v>5.76</v>
      </c>
      <c r="X275" s="91">
        <f t="shared" si="108"/>
        <v>33156.863999999994</v>
      </c>
      <c r="Y275" s="110">
        <f t="shared" si="111"/>
        <v>64126.295999999995</v>
      </c>
      <c r="Z275" s="32">
        <v>-98782.46</v>
      </c>
      <c r="AA275" s="12">
        <f t="shared" si="109"/>
        <v>-1.726404217816104</v>
      </c>
      <c r="AB275" s="25">
        <f t="shared" si="110"/>
        <v>-41563.84400000001</v>
      </c>
      <c r="AC275" s="44"/>
      <c r="AD275" s="8">
        <f t="shared" si="95"/>
        <v>-41563.84400000001</v>
      </c>
      <c r="AE275" s="167">
        <v>18417.408000000003</v>
      </c>
      <c r="AF275" s="168">
        <v>0</v>
      </c>
      <c r="AG275" s="168">
        <v>1534.7840000000008</v>
      </c>
      <c r="AH275" s="168">
        <v>0</v>
      </c>
      <c r="AI275" s="168">
        <v>18417.40800000001</v>
      </c>
      <c r="AJ275" s="59" t="s">
        <v>299</v>
      </c>
      <c r="AK275" s="26" t="s">
        <v>352</v>
      </c>
      <c r="AL275" s="45">
        <v>0</v>
      </c>
      <c r="AM275" s="45">
        <v>1539.58</v>
      </c>
      <c r="AN275" s="2">
        <v>0</v>
      </c>
      <c r="AO275" s="2">
        <v>1539.58</v>
      </c>
      <c r="AP275" s="1">
        <v>0</v>
      </c>
      <c r="AQ275" s="1">
        <v>1539.58</v>
      </c>
      <c r="AR275" s="24">
        <v>0</v>
      </c>
      <c r="AS275" s="24">
        <v>2238.08</v>
      </c>
      <c r="AT275" s="1">
        <v>0</v>
      </c>
      <c r="AU275" s="1">
        <v>1539.58</v>
      </c>
      <c r="AV275" s="24">
        <v>0</v>
      </c>
      <c r="AW275" s="24">
        <v>1539.58</v>
      </c>
      <c r="AX275" s="45">
        <v>0</v>
      </c>
      <c r="AY275" s="45">
        <v>1539.58</v>
      </c>
      <c r="AZ275" s="24">
        <v>0</v>
      </c>
      <c r="BA275" s="24">
        <v>1539.58</v>
      </c>
      <c r="BB275" s="24">
        <v>0</v>
      </c>
      <c r="BC275" s="24">
        <v>1539.58</v>
      </c>
      <c r="BD275" s="24">
        <v>0</v>
      </c>
      <c r="BE275" s="24">
        <v>1539.58</v>
      </c>
      <c r="BF275" s="24">
        <v>0</v>
      </c>
      <c r="BG275" s="24">
        <v>2365.58</v>
      </c>
      <c r="BH275" s="24">
        <v>0</v>
      </c>
      <c r="BI275" s="24">
        <v>1539.58</v>
      </c>
      <c r="BJ275" s="9">
        <f t="shared" si="96"/>
        <v>0</v>
      </c>
      <c r="BK275" s="9">
        <f t="shared" si="97"/>
        <v>19999.46</v>
      </c>
      <c r="BL275" s="153">
        <f t="shared" si="98"/>
        <v>19999.46</v>
      </c>
      <c r="BM275" s="154"/>
      <c r="BN275" s="154"/>
      <c r="BO275" s="154"/>
      <c r="BP275" s="154"/>
      <c r="BQ275" s="154"/>
      <c r="BR275" s="155">
        <f t="shared" si="113"/>
        <v>19999.46</v>
      </c>
      <c r="BS275" s="154">
        <f>1381.54+1050.54</f>
        <v>2432.08</v>
      </c>
      <c r="BT275" s="199"/>
      <c r="BU275" s="20">
        <f t="shared" si="112"/>
        <v>-59131.22400000001</v>
      </c>
      <c r="BV275" s="231">
        <v>78085.36</v>
      </c>
      <c r="BW275" s="229"/>
      <c r="BX275" s="230"/>
    </row>
    <row r="276" spans="1:76" ht="15.75">
      <c r="A276" s="1">
        <v>269</v>
      </c>
      <c r="B276" s="1" t="s">
        <v>250</v>
      </c>
      <c r="C276" s="1">
        <v>478.9</v>
      </c>
      <c r="D276" s="1">
        <v>0</v>
      </c>
      <c r="E276" s="1">
        <f t="shared" si="100"/>
        <v>478.9</v>
      </c>
      <c r="F276" s="2">
        <v>9.94</v>
      </c>
      <c r="G276" s="2">
        <f t="shared" si="114"/>
        <v>4760.266</v>
      </c>
      <c r="H276" s="2">
        <f t="shared" si="93"/>
        <v>28561.595999999998</v>
      </c>
      <c r="I276" s="2">
        <f t="shared" si="101"/>
        <v>9.94</v>
      </c>
      <c r="J276" s="2">
        <f t="shared" si="102"/>
        <v>4760.266</v>
      </c>
      <c r="K276" s="2">
        <f t="shared" si="94"/>
        <v>28561.595999999998</v>
      </c>
      <c r="L276" s="97">
        <f t="shared" si="99"/>
        <v>57123.191999999995</v>
      </c>
      <c r="M276" s="109">
        <v>3.92</v>
      </c>
      <c r="N276" s="89">
        <f t="shared" si="103"/>
        <v>22527.456</v>
      </c>
      <c r="O276" s="64">
        <v>1.46</v>
      </c>
      <c r="P276" s="90">
        <f t="shared" si="104"/>
        <v>8390.328</v>
      </c>
      <c r="Q276" s="64"/>
      <c r="R276" s="90">
        <f t="shared" si="105"/>
        <v>0</v>
      </c>
      <c r="S276" s="64"/>
      <c r="T276" s="91">
        <f t="shared" si="106"/>
        <v>0</v>
      </c>
      <c r="U276" s="64">
        <v>0</v>
      </c>
      <c r="V276" s="90">
        <f t="shared" si="107"/>
        <v>0</v>
      </c>
      <c r="W276" s="96">
        <v>5.76</v>
      </c>
      <c r="X276" s="91">
        <f t="shared" si="108"/>
        <v>33101.568</v>
      </c>
      <c r="Y276" s="110">
        <f t="shared" si="111"/>
        <v>64019.352</v>
      </c>
      <c r="Z276" s="32">
        <v>-6044.78</v>
      </c>
      <c r="AA276" s="12">
        <f t="shared" si="109"/>
        <v>-0.10582006691782911</v>
      </c>
      <c r="AB276" s="25">
        <f t="shared" si="110"/>
        <v>51078.412</v>
      </c>
      <c r="AC276" s="44"/>
      <c r="AD276" s="8">
        <f t="shared" si="95"/>
        <v>51078.412</v>
      </c>
      <c r="AE276" s="167">
        <v>18391.296</v>
      </c>
      <c r="AF276" s="168">
        <v>0</v>
      </c>
      <c r="AG276" s="168">
        <v>4256.534333333333</v>
      </c>
      <c r="AH276" s="168">
        <v>0</v>
      </c>
      <c r="AI276" s="168">
        <v>51078.412</v>
      </c>
      <c r="AJ276" s="59" t="s">
        <v>299</v>
      </c>
      <c r="AK276" s="26" t="s">
        <v>352</v>
      </c>
      <c r="AL276" s="45">
        <v>0</v>
      </c>
      <c r="AM276" s="45">
        <v>1537.4</v>
      </c>
      <c r="AN276" s="2">
        <v>0</v>
      </c>
      <c r="AO276" s="2">
        <v>1537.4</v>
      </c>
      <c r="AP276" s="1">
        <v>0</v>
      </c>
      <c r="AQ276" s="1">
        <v>1537.4</v>
      </c>
      <c r="AR276" s="24">
        <v>0</v>
      </c>
      <c r="AS276" s="24">
        <v>2235.9</v>
      </c>
      <c r="AT276" s="1">
        <v>0</v>
      </c>
      <c r="AU276" s="1">
        <v>1537.4</v>
      </c>
      <c r="AV276" s="24">
        <v>0</v>
      </c>
      <c r="AW276" s="24">
        <v>1537.4</v>
      </c>
      <c r="AX276" s="45">
        <v>0</v>
      </c>
      <c r="AY276" s="45">
        <v>1537.4</v>
      </c>
      <c r="AZ276" s="24">
        <v>0</v>
      </c>
      <c r="BA276" s="24">
        <v>1537.4</v>
      </c>
      <c r="BB276" s="24">
        <v>0</v>
      </c>
      <c r="BC276" s="24">
        <v>1537.4</v>
      </c>
      <c r="BD276" s="24">
        <v>0</v>
      </c>
      <c r="BE276" s="24">
        <v>1537.4</v>
      </c>
      <c r="BF276" s="24">
        <v>0</v>
      </c>
      <c r="BG276" s="24">
        <v>2363.4</v>
      </c>
      <c r="BH276" s="24">
        <v>0</v>
      </c>
      <c r="BI276" s="24">
        <v>1537.4</v>
      </c>
      <c r="BJ276" s="9">
        <f t="shared" si="96"/>
        <v>0</v>
      </c>
      <c r="BK276" s="9">
        <f t="shared" si="97"/>
        <v>19973.3</v>
      </c>
      <c r="BL276" s="153">
        <f t="shared" si="98"/>
        <v>19973.3</v>
      </c>
      <c r="BM276" s="154"/>
      <c r="BN276" s="154"/>
      <c r="BO276" s="154"/>
      <c r="BP276" s="154"/>
      <c r="BQ276" s="154"/>
      <c r="BR276" s="155">
        <f t="shared" si="113"/>
        <v>19973.3</v>
      </c>
      <c r="BS276" s="154">
        <f>1379.23+1048.79</f>
        <v>2428.02</v>
      </c>
      <c r="BT276" s="199"/>
      <c r="BU276" s="20">
        <f t="shared" si="112"/>
        <v>33533.132</v>
      </c>
      <c r="BV276" s="231">
        <v>371610.42</v>
      </c>
      <c r="BW276" s="229"/>
      <c r="BX276" s="230"/>
    </row>
    <row r="277" spans="1:76" ht="15.75">
      <c r="A277" s="1">
        <v>270</v>
      </c>
      <c r="B277" s="1" t="s">
        <v>251</v>
      </c>
      <c r="C277" s="1">
        <v>3376</v>
      </c>
      <c r="D277" s="1">
        <v>124.1</v>
      </c>
      <c r="E277" s="1">
        <f t="shared" si="100"/>
        <v>3500.1</v>
      </c>
      <c r="F277" s="2">
        <v>15.85</v>
      </c>
      <c r="G277" s="2">
        <f t="shared" si="114"/>
        <v>55476.585</v>
      </c>
      <c r="H277" s="2">
        <f t="shared" si="93"/>
        <v>332859.51</v>
      </c>
      <c r="I277" s="2">
        <f t="shared" si="101"/>
        <v>15.85</v>
      </c>
      <c r="J277" s="2">
        <f t="shared" si="102"/>
        <v>55476.585</v>
      </c>
      <c r="K277" s="2">
        <f t="shared" si="94"/>
        <v>332859.51</v>
      </c>
      <c r="L277" s="97">
        <f t="shared" si="99"/>
        <v>665719.02</v>
      </c>
      <c r="M277" s="109">
        <v>3.92</v>
      </c>
      <c r="N277" s="89">
        <f t="shared" si="103"/>
        <v>164644.704</v>
      </c>
      <c r="O277" s="64">
        <v>1.46</v>
      </c>
      <c r="P277" s="90">
        <f t="shared" si="104"/>
        <v>61321.75199999999</v>
      </c>
      <c r="Q277" s="64">
        <v>0.52</v>
      </c>
      <c r="R277" s="90">
        <f t="shared" si="105"/>
        <v>21840.624</v>
      </c>
      <c r="S277" s="64">
        <v>0.89</v>
      </c>
      <c r="T277" s="91">
        <f t="shared" si="106"/>
        <v>37381.068</v>
      </c>
      <c r="U277" s="64">
        <v>0.53</v>
      </c>
      <c r="V277" s="90">
        <f t="shared" si="107"/>
        <v>22260.636000000002</v>
      </c>
      <c r="W277" s="96"/>
      <c r="X277" s="91">
        <f t="shared" si="108"/>
        <v>0</v>
      </c>
      <c r="Y277" s="110">
        <f t="shared" si="111"/>
        <v>307448.78400000004</v>
      </c>
      <c r="Z277" s="32">
        <v>-532537.03</v>
      </c>
      <c r="AA277" s="12">
        <f t="shared" si="109"/>
        <v>-0.7999426394637185</v>
      </c>
      <c r="AB277" s="25">
        <f t="shared" si="110"/>
        <v>133181.99</v>
      </c>
      <c r="AC277" s="44"/>
      <c r="AD277" s="8">
        <f t="shared" si="95"/>
        <v>133181.99</v>
      </c>
      <c r="AE277" s="167">
        <v>228713.544</v>
      </c>
      <c r="AF277" s="168">
        <v>6482.486934528207</v>
      </c>
      <c r="AG277" s="168">
        <v>4616.012232138459</v>
      </c>
      <c r="AH277" s="168">
        <v>77789.84321433849</v>
      </c>
      <c r="AI277" s="168">
        <v>55392.146785661505</v>
      </c>
      <c r="AJ277" s="59"/>
      <c r="AK277" s="26" t="s">
        <v>352</v>
      </c>
      <c r="AL277" s="45">
        <v>26807.44</v>
      </c>
      <c r="AM277" s="45">
        <v>12419.25</v>
      </c>
      <c r="AN277" s="2">
        <v>42974.39</v>
      </c>
      <c r="AO277" s="2">
        <v>9784.73</v>
      </c>
      <c r="AP277" s="1">
        <v>7473.61</v>
      </c>
      <c r="AQ277" s="1">
        <v>12700.46</v>
      </c>
      <c r="AR277" s="24">
        <v>9662.92</v>
      </c>
      <c r="AS277" s="24">
        <v>13331.1</v>
      </c>
      <c r="AT277" s="1">
        <v>125603.24</v>
      </c>
      <c r="AU277" s="1">
        <v>9784.73</v>
      </c>
      <c r="AV277" s="24">
        <v>24611.97</v>
      </c>
      <c r="AW277" s="24">
        <v>72436.73</v>
      </c>
      <c r="AX277" s="45">
        <v>14524.59</v>
      </c>
      <c r="AY277" s="45">
        <v>9784.73</v>
      </c>
      <c r="AZ277" s="24">
        <v>14524.59</v>
      </c>
      <c r="BA277" s="24">
        <v>48537.3</v>
      </c>
      <c r="BB277" s="24">
        <v>23431.04</v>
      </c>
      <c r="BC277" s="24">
        <v>12445.69</v>
      </c>
      <c r="BD277" s="24">
        <v>25317.86</v>
      </c>
      <c r="BE277" s="24">
        <v>13070.36</v>
      </c>
      <c r="BF277" s="24">
        <v>11648.71</v>
      </c>
      <c r="BG277" s="24">
        <v>15182.24</v>
      </c>
      <c r="BH277" s="24">
        <v>11994.85</v>
      </c>
      <c r="BI277" s="24">
        <v>9784.73</v>
      </c>
      <c r="BJ277" s="9">
        <f t="shared" si="96"/>
        <v>338575.20999999996</v>
      </c>
      <c r="BK277" s="9">
        <f t="shared" si="97"/>
        <v>239262.05000000002</v>
      </c>
      <c r="BL277" s="153">
        <f t="shared" si="98"/>
        <v>577837.26</v>
      </c>
      <c r="BM277" s="154">
        <v>17280</v>
      </c>
      <c r="BN277" s="154">
        <v>22623.31</v>
      </c>
      <c r="BO277" s="154">
        <v>2722.89</v>
      </c>
      <c r="BP277" s="154"/>
      <c r="BQ277" s="154"/>
      <c r="BR277" s="155">
        <f t="shared" si="113"/>
        <v>620463.4600000001</v>
      </c>
      <c r="BS277" s="198">
        <v>5109.85</v>
      </c>
      <c r="BT277" s="199">
        <v>8256</v>
      </c>
      <c r="BU277" s="20">
        <f t="shared" si="112"/>
        <v>-482171.6200000001</v>
      </c>
      <c r="BV277" s="231">
        <v>730649.94</v>
      </c>
      <c r="BW277" s="229"/>
      <c r="BX277" s="230"/>
    </row>
    <row r="278" spans="1:76" ht="15.75">
      <c r="A278" s="1">
        <v>271</v>
      </c>
      <c r="B278" s="1" t="s">
        <v>252</v>
      </c>
      <c r="C278" s="1">
        <v>643.7</v>
      </c>
      <c r="D278" s="1">
        <v>0</v>
      </c>
      <c r="E278" s="1">
        <f t="shared" si="100"/>
        <v>643.7</v>
      </c>
      <c r="F278" s="2">
        <v>9.71</v>
      </c>
      <c r="G278" s="2">
        <f t="shared" si="114"/>
        <v>6250.327000000001</v>
      </c>
      <c r="H278" s="2">
        <f t="shared" si="93"/>
        <v>37501.96200000001</v>
      </c>
      <c r="I278" s="2">
        <f t="shared" si="101"/>
        <v>9.71</v>
      </c>
      <c r="J278" s="2">
        <f t="shared" si="102"/>
        <v>6250.327000000001</v>
      </c>
      <c r="K278" s="2">
        <f t="shared" si="94"/>
        <v>37501.96200000001</v>
      </c>
      <c r="L278" s="97">
        <f t="shared" si="99"/>
        <v>75003.92400000001</v>
      </c>
      <c r="M278" s="109">
        <v>3.92</v>
      </c>
      <c r="N278" s="89">
        <f t="shared" si="103"/>
        <v>30279.648</v>
      </c>
      <c r="O278" s="64">
        <v>1.46</v>
      </c>
      <c r="P278" s="90">
        <f t="shared" si="104"/>
        <v>11277.624</v>
      </c>
      <c r="Q278" s="64"/>
      <c r="R278" s="90">
        <f t="shared" si="105"/>
        <v>0</v>
      </c>
      <c r="S278" s="64"/>
      <c r="T278" s="91">
        <f t="shared" si="106"/>
        <v>0</v>
      </c>
      <c r="U278" s="64">
        <v>1.79</v>
      </c>
      <c r="V278" s="90">
        <f t="shared" si="107"/>
        <v>13826.676000000003</v>
      </c>
      <c r="W278" s="96"/>
      <c r="X278" s="91">
        <f t="shared" si="108"/>
        <v>0</v>
      </c>
      <c r="Y278" s="110">
        <f t="shared" si="111"/>
        <v>55383.948000000004</v>
      </c>
      <c r="Z278" s="32"/>
      <c r="AA278" s="12">
        <f t="shared" si="109"/>
        <v>0</v>
      </c>
      <c r="AB278" s="25">
        <f t="shared" si="110"/>
        <v>75003.92400000001</v>
      </c>
      <c r="AC278" s="166"/>
      <c r="AD278" s="8">
        <f t="shared" si="95"/>
        <v>75003.92400000001</v>
      </c>
      <c r="AE278" s="167">
        <v>23754.048000000003</v>
      </c>
      <c r="AF278" s="168">
        <v>0</v>
      </c>
      <c r="AG278" s="168">
        <v>6250.327000000001</v>
      </c>
      <c r="AH278" s="168">
        <v>0</v>
      </c>
      <c r="AI278" s="168">
        <v>75003.92400000001</v>
      </c>
      <c r="AJ278" s="59" t="s">
        <v>299</v>
      </c>
      <c r="AK278" s="59"/>
      <c r="AL278" s="45">
        <v>0</v>
      </c>
      <c r="AM278" s="45">
        <v>6606.68</v>
      </c>
      <c r="AN278" s="2">
        <v>0</v>
      </c>
      <c r="AO278" s="2">
        <v>5608.46</v>
      </c>
      <c r="AP278" s="1">
        <v>0</v>
      </c>
      <c r="AQ278" s="1">
        <v>1985.94</v>
      </c>
      <c r="AR278" s="24">
        <v>0</v>
      </c>
      <c r="AS278" s="24">
        <v>7920.32</v>
      </c>
      <c r="AT278" s="1">
        <v>0</v>
      </c>
      <c r="AU278" s="1">
        <v>1985.94</v>
      </c>
      <c r="AV278" s="24">
        <v>0</v>
      </c>
      <c r="AW278" s="24">
        <v>1985.94</v>
      </c>
      <c r="AX278" s="45">
        <v>0</v>
      </c>
      <c r="AY278" s="45">
        <v>8548.44</v>
      </c>
      <c r="AZ278" s="24">
        <v>0</v>
      </c>
      <c r="BA278" s="24">
        <v>1985.94</v>
      </c>
      <c r="BB278" s="24">
        <v>0</v>
      </c>
      <c r="BC278" s="24">
        <v>3818.48</v>
      </c>
      <c r="BD278" s="24">
        <v>0</v>
      </c>
      <c r="BE278" s="24">
        <v>5005.34</v>
      </c>
      <c r="BF278" s="24">
        <v>0</v>
      </c>
      <c r="BG278" s="24">
        <v>5831.34</v>
      </c>
      <c r="BH278" s="24">
        <v>0</v>
      </c>
      <c r="BI278" s="24">
        <v>5964.81</v>
      </c>
      <c r="BJ278" s="9">
        <f t="shared" si="96"/>
        <v>0</v>
      </c>
      <c r="BK278" s="9">
        <f t="shared" si="97"/>
        <v>57247.630000000005</v>
      </c>
      <c r="BL278" s="153">
        <f t="shared" si="98"/>
        <v>57247.630000000005</v>
      </c>
      <c r="BM278" s="154"/>
      <c r="BN278" s="154"/>
      <c r="BO278" s="154"/>
      <c r="BP278" s="154"/>
      <c r="BQ278" s="154"/>
      <c r="BR278" s="155">
        <f t="shared" si="113"/>
        <v>57247.630000000005</v>
      </c>
      <c r="BS278" s="198">
        <v>469.54</v>
      </c>
      <c r="BT278" s="199"/>
      <c r="BU278" s="20">
        <f t="shared" si="112"/>
        <v>18225.83400000001</v>
      </c>
      <c r="BV278" s="231">
        <v>69023.4</v>
      </c>
      <c r="BW278" s="229"/>
      <c r="BX278" s="230"/>
    </row>
    <row r="279" spans="1:76" ht="15.75">
      <c r="A279" s="1">
        <v>272</v>
      </c>
      <c r="B279" s="1" t="s">
        <v>253</v>
      </c>
      <c r="C279" s="1">
        <v>403.4</v>
      </c>
      <c r="D279" s="1">
        <v>0</v>
      </c>
      <c r="E279" s="1">
        <f t="shared" si="100"/>
        <v>403.4</v>
      </c>
      <c r="F279" s="2">
        <v>9.82</v>
      </c>
      <c r="G279" s="2">
        <f t="shared" si="114"/>
        <v>3961.388</v>
      </c>
      <c r="H279" s="2">
        <f t="shared" si="93"/>
        <v>23768.328</v>
      </c>
      <c r="I279" s="2">
        <f t="shared" si="101"/>
        <v>9.82</v>
      </c>
      <c r="J279" s="2">
        <f t="shared" si="102"/>
        <v>3961.388</v>
      </c>
      <c r="K279" s="2">
        <f t="shared" si="94"/>
        <v>23768.328</v>
      </c>
      <c r="L279" s="97">
        <f t="shared" si="99"/>
        <v>47536.656</v>
      </c>
      <c r="M279" s="109">
        <v>3.92</v>
      </c>
      <c r="N279" s="89">
        <f t="shared" si="103"/>
        <v>18975.936</v>
      </c>
      <c r="O279" s="64">
        <v>1.46</v>
      </c>
      <c r="P279" s="90">
        <f t="shared" si="104"/>
        <v>7067.567999999999</v>
      </c>
      <c r="Q279" s="64"/>
      <c r="R279" s="90">
        <f t="shared" si="105"/>
        <v>0</v>
      </c>
      <c r="S279" s="64"/>
      <c r="T279" s="91">
        <f t="shared" si="106"/>
        <v>0</v>
      </c>
      <c r="U279" s="64">
        <v>0</v>
      </c>
      <c r="V279" s="90">
        <f t="shared" si="107"/>
        <v>0</v>
      </c>
      <c r="W279" s="96"/>
      <c r="X279" s="91">
        <f t="shared" si="108"/>
        <v>0</v>
      </c>
      <c r="Y279" s="110">
        <f t="shared" si="111"/>
        <v>26043.504</v>
      </c>
      <c r="Z279" s="32"/>
      <c r="AA279" s="12">
        <f t="shared" si="109"/>
        <v>0</v>
      </c>
      <c r="AB279" s="25">
        <f t="shared" si="110"/>
        <v>47536.656</v>
      </c>
      <c r="AC279" s="44"/>
      <c r="AD279" s="8">
        <f t="shared" si="95"/>
        <v>47536.656</v>
      </c>
      <c r="AE279" s="167">
        <v>13166.976</v>
      </c>
      <c r="AF279" s="168">
        <v>0</v>
      </c>
      <c r="AG279" s="168">
        <v>3961.3880000000004</v>
      </c>
      <c r="AH279" s="168">
        <v>0</v>
      </c>
      <c r="AI279" s="168">
        <v>47536.656</v>
      </c>
      <c r="AJ279" s="59" t="s">
        <v>299</v>
      </c>
      <c r="AK279" s="59"/>
      <c r="AL279" s="45">
        <v>0</v>
      </c>
      <c r="AM279" s="45">
        <v>2221.28</v>
      </c>
      <c r="AN279" s="2">
        <v>0</v>
      </c>
      <c r="AO279" s="2">
        <v>2434.47</v>
      </c>
      <c r="AP279" s="1">
        <v>0</v>
      </c>
      <c r="AQ279" s="1">
        <v>2289.41</v>
      </c>
      <c r="AR279" s="24">
        <v>0</v>
      </c>
      <c r="AS279" s="24">
        <v>69775.88</v>
      </c>
      <c r="AT279" s="1">
        <v>0</v>
      </c>
      <c r="AU279" s="1">
        <v>53611.76</v>
      </c>
      <c r="AV279" s="24">
        <v>0</v>
      </c>
      <c r="AW279" s="24">
        <v>1101.28</v>
      </c>
      <c r="AX279" s="45">
        <v>0</v>
      </c>
      <c r="AY279" s="45">
        <v>7663.78</v>
      </c>
      <c r="AZ279" s="24">
        <v>0</v>
      </c>
      <c r="BA279" s="24">
        <v>1101.28</v>
      </c>
      <c r="BB279" s="24">
        <v>0</v>
      </c>
      <c r="BC279" s="24">
        <v>15075.27</v>
      </c>
      <c r="BD279" s="24">
        <v>0</v>
      </c>
      <c r="BE279" s="24">
        <v>4120.68</v>
      </c>
      <c r="BF279" s="24">
        <v>0</v>
      </c>
      <c r="BG279" s="24">
        <v>4946.68</v>
      </c>
      <c r="BH279" s="24">
        <v>0</v>
      </c>
      <c r="BI279" s="24">
        <v>4120.68</v>
      </c>
      <c r="BJ279" s="9">
        <f t="shared" si="96"/>
        <v>0</v>
      </c>
      <c r="BK279" s="9">
        <f t="shared" si="97"/>
        <v>168462.44999999998</v>
      </c>
      <c r="BL279" s="153">
        <f t="shared" si="98"/>
        <v>168462.44999999998</v>
      </c>
      <c r="BM279" s="154"/>
      <c r="BN279" s="154">
        <f>218457.23-30697.31</f>
        <v>187759.92</v>
      </c>
      <c r="BO279" s="154"/>
      <c r="BP279" s="154">
        <v>2426.15</v>
      </c>
      <c r="BQ279" s="154"/>
      <c r="BR279" s="155">
        <f t="shared" si="113"/>
        <v>358648.52</v>
      </c>
      <c r="BS279" s="198">
        <v>293.97</v>
      </c>
      <c r="BT279" s="199"/>
      <c r="BU279" s="20">
        <f t="shared" si="112"/>
        <v>-310817.89400000003</v>
      </c>
      <c r="BV279" s="231">
        <v>87531.7</v>
      </c>
      <c r="BW279" s="229"/>
      <c r="BX279" s="230"/>
    </row>
    <row r="280" spans="1:111" s="17" customFormat="1" ht="15.75">
      <c r="A280" s="1">
        <v>273</v>
      </c>
      <c r="B280" s="1" t="s">
        <v>254</v>
      </c>
      <c r="C280" s="1">
        <v>479.8</v>
      </c>
      <c r="D280" s="1">
        <v>0</v>
      </c>
      <c r="E280" s="1">
        <f t="shared" si="100"/>
        <v>479.8</v>
      </c>
      <c r="F280" s="2">
        <v>9.88</v>
      </c>
      <c r="G280" s="2">
        <f t="shared" si="114"/>
        <v>4740.424000000001</v>
      </c>
      <c r="H280" s="2">
        <f t="shared" si="93"/>
        <v>28442.544000000005</v>
      </c>
      <c r="I280" s="2">
        <f t="shared" si="101"/>
        <v>9.88</v>
      </c>
      <c r="J280" s="2">
        <f t="shared" si="102"/>
        <v>4740.424000000001</v>
      </c>
      <c r="K280" s="2">
        <f t="shared" si="94"/>
        <v>28442.544000000005</v>
      </c>
      <c r="L280" s="97">
        <f t="shared" si="99"/>
        <v>56885.08800000001</v>
      </c>
      <c r="M280" s="109">
        <v>3.92</v>
      </c>
      <c r="N280" s="89">
        <f t="shared" si="103"/>
        <v>22569.792</v>
      </c>
      <c r="O280" s="64">
        <v>1.46</v>
      </c>
      <c r="P280" s="90">
        <f t="shared" si="104"/>
        <v>8406.096000000001</v>
      </c>
      <c r="Q280" s="64">
        <v>0.52</v>
      </c>
      <c r="R280" s="90">
        <f t="shared" si="105"/>
        <v>2993.952</v>
      </c>
      <c r="S280" s="64">
        <v>0.89</v>
      </c>
      <c r="T280" s="91">
        <f t="shared" si="106"/>
        <v>5124.264</v>
      </c>
      <c r="U280" s="64">
        <v>0</v>
      </c>
      <c r="V280" s="90">
        <f t="shared" si="107"/>
        <v>0</v>
      </c>
      <c r="W280" s="96">
        <v>5.76</v>
      </c>
      <c r="X280" s="91">
        <f t="shared" si="108"/>
        <v>33163.776</v>
      </c>
      <c r="Y280" s="110">
        <f t="shared" si="111"/>
        <v>72257.88</v>
      </c>
      <c r="Z280" s="32">
        <v>-34059.37</v>
      </c>
      <c r="AA280" s="12">
        <f t="shared" si="109"/>
        <v>-0.5987398665885864</v>
      </c>
      <c r="AB280" s="25">
        <f t="shared" si="110"/>
        <v>22825.718000000008</v>
      </c>
      <c r="AC280" s="44"/>
      <c r="AD280" s="8">
        <f t="shared" si="95"/>
        <v>22825.718000000008</v>
      </c>
      <c r="AE280" s="167">
        <v>18420.672</v>
      </c>
      <c r="AF280" s="168">
        <v>0</v>
      </c>
      <c r="AG280" s="168">
        <v>1902.1431666666674</v>
      </c>
      <c r="AH280" s="168">
        <v>0</v>
      </c>
      <c r="AI280" s="168">
        <v>22825.718000000008</v>
      </c>
      <c r="AJ280" s="59" t="s">
        <v>299</v>
      </c>
      <c r="AK280" s="26" t="s">
        <v>352</v>
      </c>
      <c r="AL280" s="45">
        <v>0</v>
      </c>
      <c r="AM280" s="45">
        <v>1539.85</v>
      </c>
      <c r="AN280" s="2">
        <v>0</v>
      </c>
      <c r="AO280" s="2">
        <v>1539.85</v>
      </c>
      <c r="AP280" s="1">
        <v>0</v>
      </c>
      <c r="AQ280" s="1">
        <v>1539.85</v>
      </c>
      <c r="AR280" s="24">
        <v>0</v>
      </c>
      <c r="AS280" s="24">
        <v>2238.35</v>
      </c>
      <c r="AT280" s="1">
        <v>0</v>
      </c>
      <c r="AU280" s="1">
        <v>1539.85</v>
      </c>
      <c r="AV280" s="24">
        <v>0</v>
      </c>
      <c r="AW280" s="24">
        <v>1539.85</v>
      </c>
      <c r="AX280" s="45">
        <v>0</v>
      </c>
      <c r="AY280" s="45">
        <v>1539.85</v>
      </c>
      <c r="AZ280" s="24">
        <v>0</v>
      </c>
      <c r="BA280" s="24">
        <v>1539.85</v>
      </c>
      <c r="BB280" s="24">
        <v>0</v>
      </c>
      <c r="BC280" s="24">
        <v>1539.85</v>
      </c>
      <c r="BD280" s="24">
        <v>0</v>
      </c>
      <c r="BE280" s="24">
        <v>1539.85</v>
      </c>
      <c r="BF280" s="24">
        <v>0</v>
      </c>
      <c r="BG280" s="24">
        <v>2365.85</v>
      </c>
      <c r="BH280" s="24">
        <v>0</v>
      </c>
      <c r="BI280" s="24">
        <v>1539.85</v>
      </c>
      <c r="BJ280" s="9">
        <f t="shared" si="96"/>
        <v>0</v>
      </c>
      <c r="BK280" s="9">
        <f t="shared" si="97"/>
        <v>20002.7</v>
      </c>
      <c r="BL280" s="153">
        <f t="shared" si="98"/>
        <v>20002.7</v>
      </c>
      <c r="BM280" s="154"/>
      <c r="BN280" s="154">
        <f>2503.4+24000.48</f>
        <v>26503.88</v>
      </c>
      <c r="BO280" s="154">
        <v>373.28</v>
      </c>
      <c r="BP280" s="154"/>
      <c r="BQ280" s="154"/>
      <c r="BR280" s="155">
        <f t="shared" si="113"/>
        <v>46879.86</v>
      </c>
      <c r="BS280" s="154">
        <f>1381.82+1050.32</f>
        <v>2432.14</v>
      </c>
      <c r="BT280" s="199"/>
      <c r="BU280" s="20">
        <f t="shared" si="112"/>
        <v>-21622.001999999993</v>
      </c>
      <c r="BV280" s="231">
        <v>29555.18</v>
      </c>
      <c r="BW280" s="229"/>
      <c r="BX280" s="230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</row>
    <row r="281" spans="1:76" ht="15.75">
      <c r="A281" s="1">
        <v>274</v>
      </c>
      <c r="B281" s="1" t="s">
        <v>255</v>
      </c>
      <c r="C281" s="1">
        <v>368.3</v>
      </c>
      <c r="D281" s="1">
        <v>0</v>
      </c>
      <c r="E281" s="1">
        <f t="shared" si="100"/>
        <v>368.3</v>
      </c>
      <c r="F281" s="2">
        <v>11.89</v>
      </c>
      <c r="G281" s="2">
        <f t="shared" si="114"/>
        <v>4379.087</v>
      </c>
      <c r="H281" s="2">
        <f t="shared" si="93"/>
        <v>26274.522000000004</v>
      </c>
      <c r="I281" s="2">
        <f t="shared" si="101"/>
        <v>11.89</v>
      </c>
      <c r="J281" s="2">
        <f t="shared" si="102"/>
        <v>4379.087</v>
      </c>
      <c r="K281" s="2">
        <f t="shared" si="94"/>
        <v>26274.522000000004</v>
      </c>
      <c r="L281" s="97">
        <f t="shared" si="99"/>
        <v>52549.04400000001</v>
      </c>
      <c r="M281" s="109">
        <v>3.92</v>
      </c>
      <c r="N281" s="89">
        <f t="shared" si="103"/>
        <v>17324.832000000002</v>
      </c>
      <c r="O281" s="64"/>
      <c r="P281" s="90">
        <f t="shared" si="104"/>
        <v>0</v>
      </c>
      <c r="Q281" s="64"/>
      <c r="R281" s="90">
        <f t="shared" si="105"/>
        <v>0</v>
      </c>
      <c r="S281" s="64"/>
      <c r="T281" s="91">
        <f t="shared" si="106"/>
        <v>0</v>
      </c>
      <c r="U281" s="64">
        <v>0</v>
      </c>
      <c r="V281" s="90">
        <f t="shared" si="107"/>
        <v>0</v>
      </c>
      <c r="W281" s="96"/>
      <c r="X281" s="91">
        <f t="shared" si="108"/>
        <v>0</v>
      </c>
      <c r="Y281" s="110">
        <f t="shared" si="111"/>
        <v>17324.832000000002</v>
      </c>
      <c r="Z281" s="32"/>
      <c r="AA281" s="12">
        <f t="shared" si="109"/>
        <v>0</v>
      </c>
      <c r="AB281" s="25">
        <f t="shared" si="110"/>
        <v>52549.04400000001</v>
      </c>
      <c r="AC281" s="44"/>
      <c r="AD281" s="8">
        <f t="shared" si="95"/>
        <v>52549.04400000001</v>
      </c>
      <c r="AE281" s="167">
        <v>12021.312000000002</v>
      </c>
      <c r="AF281" s="168">
        <v>1592.945195954772</v>
      </c>
      <c r="AG281" s="168">
        <v>2786.1418040452286</v>
      </c>
      <c r="AH281" s="168">
        <v>19115.342351457264</v>
      </c>
      <c r="AI281" s="168">
        <v>33433.701648542745</v>
      </c>
      <c r="AJ281" s="59" t="s">
        <v>299</v>
      </c>
      <c r="AK281" s="59"/>
      <c r="AL281" s="45">
        <v>0</v>
      </c>
      <c r="AM281" s="45">
        <v>1005.46</v>
      </c>
      <c r="AN281" s="2">
        <v>0</v>
      </c>
      <c r="AO281" s="2">
        <v>1005.46</v>
      </c>
      <c r="AP281" s="1">
        <v>0</v>
      </c>
      <c r="AQ281" s="1">
        <v>1005.46</v>
      </c>
      <c r="AR281" s="24">
        <v>0</v>
      </c>
      <c r="AS281" s="24">
        <v>1703.96</v>
      </c>
      <c r="AT281" s="1">
        <v>0</v>
      </c>
      <c r="AU281" s="1">
        <v>1005.46</v>
      </c>
      <c r="AV281" s="24">
        <v>0</v>
      </c>
      <c r="AW281" s="24">
        <v>1005.46</v>
      </c>
      <c r="AX281" s="45">
        <v>0</v>
      </c>
      <c r="AY281" s="45">
        <v>1005.46</v>
      </c>
      <c r="AZ281" s="24">
        <v>0</v>
      </c>
      <c r="BA281" s="24">
        <v>1005.46</v>
      </c>
      <c r="BB281" s="24">
        <v>0</v>
      </c>
      <c r="BC281" s="24">
        <v>1005.46</v>
      </c>
      <c r="BD281" s="24">
        <v>0</v>
      </c>
      <c r="BE281" s="24">
        <v>1005.46</v>
      </c>
      <c r="BF281" s="24">
        <v>0</v>
      </c>
      <c r="BG281" s="24">
        <v>1831.46</v>
      </c>
      <c r="BH281" s="24">
        <v>0</v>
      </c>
      <c r="BI281" s="24">
        <v>1005.46</v>
      </c>
      <c r="BJ281" s="9">
        <f t="shared" si="96"/>
        <v>0</v>
      </c>
      <c r="BK281" s="9">
        <f t="shared" si="97"/>
        <v>13590.019999999997</v>
      </c>
      <c r="BL281" s="153">
        <f t="shared" si="98"/>
        <v>13590.019999999997</v>
      </c>
      <c r="BM281" s="154"/>
      <c r="BN281" s="154"/>
      <c r="BO281" s="154"/>
      <c r="BP281" s="154"/>
      <c r="BQ281" s="154"/>
      <c r="BR281" s="155">
        <f t="shared" si="113"/>
        <v>13590.019999999997</v>
      </c>
      <c r="BS281" s="198"/>
      <c r="BT281" s="199"/>
      <c r="BU281" s="20">
        <f t="shared" si="112"/>
        <v>38959.02400000001</v>
      </c>
      <c r="BV281" s="231">
        <v>177982.38</v>
      </c>
      <c r="BW281" s="229"/>
      <c r="BX281" s="230"/>
    </row>
    <row r="282" spans="1:76" ht="15.75">
      <c r="A282" s="1">
        <v>275</v>
      </c>
      <c r="B282" s="1" t="s">
        <v>256</v>
      </c>
      <c r="C282" s="1">
        <v>353.7</v>
      </c>
      <c r="D282" s="1">
        <v>0</v>
      </c>
      <c r="E282" s="1">
        <f t="shared" si="100"/>
        <v>353.7</v>
      </c>
      <c r="F282" s="2">
        <v>6.73</v>
      </c>
      <c r="G282" s="2">
        <f t="shared" si="114"/>
        <v>2380.4010000000003</v>
      </c>
      <c r="H282" s="2">
        <f t="shared" si="93"/>
        <v>14282.406000000003</v>
      </c>
      <c r="I282" s="2">
        <f t="shared" si="101"/>
        <v>6.73</v>
      </c>
      <c r="J282" s="2">
        <f t="shared" si="102"/>
        <v>2380.4010000000003</v>
      </c>
      <c r="K282" s="2">
        <f t="shared" si="94"/>
        <v>14282.406000000003</v>
      </c>
      <c r="L282" s="97">
        <f t="shared" si="99"/>
        <v>28564.812000000005</v>
      </c>
      <c r="M282" s="109">
        <v>3.92</v>
      </c>
      <c r="N282" s="89">
        <f t="shared" si="103"/>
        <v>16638.048</v>
      </c>
      <c r="O282" s="64"/>
      <c r="P282" s="90">
        <f t="shared" si="104"/>
        <v>0</v>
      </c>
      <c r="Q282" s="64"/>
      <c r="R282" s="90">
        <f t="shared" si="105"/>
        <v>0</v>
      </c>
      <c r="S282" s="64"/>
      <c r="T282" s="91">
        <f t="shared" si="106"/>
        <v>0</v>
      </c>
      <c r="U282" s="64">
        <v>0</v>
      </c>
      <c r="V282" s="90">
        <f t="shared" si="107"/>
        <v>0</v>
      </c>
      <c r="W282" s="96">
        <v>3.01</v>
      </c>
      <c r="X282" s="91">
        <f t="shared" si="108"/>
        <v>12775.644</v>
      </c>
      <c r="Y282" s="110">
        <f t="shared" si="111"/>
        <v>29413.692</v>
      </c>
      <c r="Z282" s="32"/>
      <c r="AA282" s="12">
        <f t="shared" si="109"/>
        <v>0</v>
      </c>
      <c r="AB282" s="25">
        <f t="shared" si="110"/>
        <v>28564.812000000005</v>
      </c>
      <c r="AC282" s="44"/>
      <c r="AD282" s="8">
        <f t="shared" si="95"/>
        <v>28564.812000000005</v>
      </c>
      <c r="AE282" s="167">
        <v>11544.768</v>
      </c>
      <c r="AF282" s="168">
        <v>0</v>
      </c>
      <c r="AG282" s="168">
        <v>2380.4010000000003</v>
      </c>
      <c r="AH282" s="168">
        <v>0</v>
      </c>
      <c r="AI282" s="168">
        <v>28564.812000000005</v>
      </c>
      <c r="AJ282" s="26" t="s">
        <v>296</v>
      </c>
      <c r="AK282" s="26"/>
      <c r="AL282" s="45">
        <v>0</v>
      </c>
      <c r="AM282" s="45">
        <v>965.6</v>
      </c>
      <c r="AN282" s="2">
        <v>0</v>
      </c>
      <c r="AO282" s="2">
        <v>965.6</v>
      </c>
      <c r="AP282" s="1">
        <v>0</v>
      </c>
      <c r="AQ282" s="1">
        <v>965.6</v>
      </c>
      <c r="AR282" s="24">
        <v>0</v>
      </c>
      <c r="AS282" s="24">
        <v>1664.1</v>
      </c>
      <c r="AT282" s="1">
        <v>0</v>
      </c>
      <c r="AU282" s="1">
        <v>965.6</v>
      </c>
      <c r="AV282" s="24">
        <v>0</v>
      </c>
      <c r="AW282" s="24">
        <v>965.6</v>
      </c>
      <c r="AX282" s="45">
        <v>0</v>
      </c>
      <c r="AY282" s="45">
        <v>965.6</v>
      </c>
      <c r="AZ282" s="24">
        <v>0</v>
      </c>
      <c r="BA282" s="24">
        <v>965.6</v>
      </c>
      <c r="BB282" s="24">
        <v>0</v>
      </c>
      <c r="BC282" s="24">
        <v>965.6</v>
      </c>
      <c r="BD282" s="24">
        <v>0</v>
      </c>
      <c r="BE282" s="24">
        <v>965.6</v>
      </c>
      <c r="BF282" s="24">
        <v>0</v>
      </c>
      <c r="BG282" s="24">
        <v>1791.6</v>
      </c>
      <c r="BH282" s="24">
        <v>0</v>
      </c>
      <c r="BI282" s="24">
        <v>965.6</v>
      </c>
      <c r="BJ282" s="9">
        <f aca="true" t="shared" si="115" ref="BJ282:BK285">AL282+AN282+AP282+AR282+AT282+AV282+AX282+AZ282+BB282+BD282+BF282+BH282</f>
        <v>0</v>
      </c>
      <c r="BK282" s="9">
        <f t="shared" si="115"/>
        <v>13111.700000000003</v>
      </c>
      <c r="BL282" s="153">
        <f>BJ282+BK282</f>
        <v>13111.700000000003</v>
      </c>
      <c r="BM282" s="154"/>
      <c r="BN282" s="154"/>
      <c r="BO282" s="154"/>
      <c r="BP282" s="154"/>
      <c r="BQ282" s="154"/>
      <c r="BR282" s="155">
        <f t="shared" si="113"/>
        <v>13111.700000000003</v>
      </c>
      <c r="BS282" s="198"/>
      <c r="BT282" s="199"/>
      <c r="BU282" s="20">
        <f t="shared" si="112"/>
        <v>15453.112000000003</v>
      </c>
      <c r="BV282" s="231">
        <v>284862.07</v>
      </c>
      <c r="BW282" s="229"/>
      <c r="BX282" s="230"/>
    </row>
    <row r="283" spans="1:76" ht="15.75">
      <c r="A283" s="1">
        <v>276</v>
      </c>
      <c r="B283" s="1" t="s">
        <v>257</v>
      </c>
      <c r="C283" s="1">
        <v>53.2</v>
      </c>
      <c r="D283" s="1">
        <v>0</v>
      </c>
      <c r="E283" s="1">
        <f t="shared" si="100"/>
        <v>53.2</v>
      </c>
      <c r="F283" s="2">
        <v>6.73</v>
      </c>
      <c r="G283" s="2">
        <f t="shared" si="114"/>
        <v>358.03600000000006</v>
      </c>
      <c r="H283" s="2">
        <f>G283*6</f>
        <v>2148.2160000000003</v>
      </c>
      <c r="I283" s="2">
        <f t="shared" si="101"/>
        <v>6.73</v>
      </c>
      <c r="J283" s="2">
        <f t="shared" si="102"/>
        <v>358.03600000000006</v>
      </c>
      <c r="K283" s="2">
        <f>J283*6</f>
        <v>2148.2160000000003</v>
      </c>
      <c r="L283" s="97">
        <f t="shared" si="99"/>
        <v>4296.432000000001</v>
      </c>
      <c r="M283" s="109">
        <v>3.92</v>
      </c>
      <c r="N283" s="89">
        <f t="shared" si="103"/>
        <v>2502.5280000000002</v>
      </c>
      <c r="O283" s="64"/>
      <c r="P283" s="90">
        <f t="shared" si="104"/>
        <v>0</v>
      </c>
      <c r="Q283" s="64"/>
      <c r="R283" s="90">
        <f t="shared" si="105"/>
        <v>0</v>
      </c>
      <c r="S283" s="64"/>
      <c r="T283" s="91">
        <f t="shared" si="106"/>
        <v>0</v>
      </c>
      <c r="U283" s="64">
        <v>0</v>
      </c>
      <c r="V283" s="90">
        <f t="shared" si="107"/>
        <v>0</v>
      </c>
      <c r="W283" s="96">
        <v>3.01</v>
      </c>
      <c r="X283" s="91">
        <f t="shared" si="108"/>
        <v>1921.584</v>
      </c>
      <c r="Y283" s="110">
        <f t="shared" si="111"/>
        <v>4424.112</v>
      </c>
      <c r="Z283" s="32"/>
      <c r="AA283" s="12">
        <f t="shared" si="109"/>
        <v>0</v>
      </c>
      <c r="AB283" s="25">
        <f t="shared" si="110"/>
        <v>4296.432000000001</v>
      </c>
      <c r="AC283" s="44"/>
      <c r="AD283" s="8">
        <f>AB283-AC283</f>
        <v>4296.432000000001</v>
      </c>
      <c r="AE283" s="167">
        <v>1736.448</v>
      </c>
      <c r="AF283" s="168">
        <v>0</v>
      </c>
      <c r="AG283" s="168">
        <v>358.03600000000006</v>
      </c>
      <c r="AH283" s="168">
        <v>0</v>
      </c>
      <c r="AI283" s="168">
        <v>4296.432000000001</v>
      </c>
      <c r="AJ283" s="59" t="s">
        <v>299</v>
      </c>
      <c r="AK283" s="59"/>
      <c r="AL283" s="45">
        <v>0</v>
      </c>
      <c r="AM283" s="45">
        <v>145.24</v>
      </c>
      <c r="AN283" s="2">
        <v>0</v>
      </c>
      <c r="AO283" s="2">
        <v>145.24</v>
      </c>
      <c r="AP283" s="1">
        <v>0</v>
      </c>
      <c r="AQ283" s="1">
        <v>145.24</v>
      </c>
      <c r="AR283" s="24">
        <v>0</v>
      </c>
      <c r="AS283" s="24">
        <v>843.74</v>
      </c>
      <c r="AT283" s="1">
        <v>0</v>
      </c>
      <c r="AU283" s="1">
        <v>145.24</v>
      </c>
      <c r="AV283" s="24">
        <v>0</v>
      </c>
      <c r="AW283" s="24">
        <v>145.24</v>
      </c>
      <c r="AX283" s="45">
        <v>0</v>
      </c>
      <c r="AY283" s="45">
        <v>145.24</v>
      </c>
      <c r="AZ283" s="24">
        <v>0</v>
      </c>
      <c r="BA283" s="24">
        <v>145.24</v>
      </c>
      <c r="BB283" s="24">
        <v>0</v>
      </c>
      <c r="BC283" s="24">
        <v>145.24</v>
      </c>
      <c r="BD283" s="24">
        <v>0</v>
      </c>
      <c r="BE283" s="24">
        <v>145.24</v>
      </c>
      <c r="BF283" s="24">
        <v>0</v>
      </c>
      <c r="BG283" s="24">
        <v>971.24</v>
      </c>
      <c r="BH283" s="24">
        <v>0</v>
      </c>
      <c r="BI283" s="24">
        <v>145.24</v>
      </c>
      <c r="BJ283" s="9">
        <f t="shared" si="115"/>
        <v>0</v>
      </c>
      <c r="BK283" s="9">
        <f t="shared" si="115"/>
        <v>3267.38</v>
      </c>
      <c r="BL283" s="153">
        <f>BJ283+BK283</f>
        <v>3267.38</v>
      </c>
      <c r="BM283" s="154"/>
      <c r="BN283" s="154"/>
      <c r="BO283" s="154"/>
      <c r="BP283" s="154"/>
      <c r="BQ283" s="154"/>
      <c r="BR283" s="155">
        <f t="shared" si="113"/>
        <v>3267.38</v>
      </c>
      <c r="BS283" s="198"/>
      <c r="BT283" s="199"/>
      <c r="BU283" s="20">
        <f t="shared" si="112"/>
        <v>1029.0520000000006</v>
      </c>
      <c r="BV283" s="233">
        <v>67250.06</v>
      </c>
      <c r="BW283" s="229"/>
      <c r="BX283" s="3"/>
    </row>
    <row r="284" spans="1:76" ht="15.75">
      <c r="A284" s="1">
        <v>277</v>
      </c>
      <c r="B284" s="1" t="s">
        <v>258</v>
      </c>
      <c r="C284" s="1">
        <v>903.9</v>
      </c>
      <c r="D284" s="1">
        <v>0</v>
      </c>
      <c r="E284" s="1">
        <f t="shared" si="100"/>
        <v>903.9</v>
      </c>
      <c r="F284" s="2">
        <v>15.92</v>
      </c>
      <c r="G284" s="2">
        <f t="shared" si="114"/>
        <v>14390.088</v>
      </c>
      <c r="H284" s="2">
        <f>G284*6</f>
        <v>86340.52799999999</v>
      </c>
      <c r="I284" s="2">
        <f t="shared" si="101"/>
        <v>15.92</v>
      </c>
      <c r="J284" s="2">
        <f t="shared" si="102"/>
        <v>14390.088</v>
      </c>
      <c r="K284" s="2">
        <f>J284*6</f>
        <v>86340.52799999999</v>
      </c>
      <c r="L284" s="97">
        <f>H284+K284</f>
        <v>172681.05599999998</v>
      </c>
      <c r="M284" s="109">
        <v>3.92</v>
      </c>
      <c r="N284" s="89">
        <f t="shared" si="103"/>
        <v>42519.456</v>
      </c>
      <c r="O284" s="64">
        <v>1.46</v>
      </c>
      <c r="P284" s="90">
        <f t="shared" si="104"/>
        <v>15836.328</v>
      </c>
      <c r="Q284" s="64"/>
      <c r="R284" s="90">
        <f t="shared" si="105"/>
        <v>0</v>
      </c>
      <c r="S284" s="64"/>
      <c r="T284" s="91">
        <f t="shared" si="106"/>
        <v>0</v>
      </c>
      <c r="U284" s="64">
        <v>0.92</v>
      </c>
      <c r="V284" s="90">
        <f t="shared" si="107"/>
        <v>9979.056</v>
      </c>
      <c r="W284" s="96"/>
      <c r="X284" s="91">
        <f t="shared" si="108"/>
        <v>0</v>
      </c>
      <c r="Y284" s="110">
        <f t="shared" si="111"/>
        <v>68334.84</v>
      </c>
      <c r="Z284" s="32"/>
      <c r="AA284" s="12">
        <f t="shared" si="109"/>
        <v>0</v>
      </c>
      <c r="AB284" s="25">
        <f t="shared" si="110"/>
        <v>172681.05599999998</v>
      </c>
      <c r="AC284" s="44"/>
      <c r="AD284" s="8">
        <f>AB284-AC284</f>
        <v>172681.05599999998</v>
      </c>
      <c r="AE284" s="167">
        <v>32263.296000000002</v>
      </c>
      <c r="AF284" s="168">
        <v>0</v>
      </c>
      <c r="AG284" s="168">
        <v>14390.087999999998</v>
      </c>
      <c r="AH284" s="168">
        <v>0</v>
      </c>
      <c r="AI284" s="168">
        <v>172681.05599999998</v>
      </c>
      <c r="AJ284" s="59" t="s">
        <v>296</v>
      </c>
      <c r="AK284" s="59"/>
      <c r="AL284" s="45">
        <v>0</v>
      </c>
      <c r="AM284" s="45">
        <v>2697.65</v>
      </c>
      <c r="AN284" s="2">
        <v>0</v>
      </c>
      <c r="AO284" s="2">
        <v>2697.65</v>
      </c>
      <c r="AP284" s="1">
        <v>0</v>
      </c>
      <c r="AQ284" s="1">
        <v>4233.45</v>
      </c>
      <c r="AR284" s="24">
        <v>0</v>
      </c>
      <c r="AS284" s="24">
        <v>8897.97</v>
      </c>
      <c r="AT284" s="1">
        <v>0</v>
      </c>
      <c r="AU284" s="1">
        <v>2697.65</v>
      </c>
      <c r="AV284" s="24">
        <v>0</v>
      </c>
      <c r="AW284" s="24">
        <v>17624.06</v>
      </c>
      <c r="AX284" s="45">
        <v>0</v>
      </c>
      <c r="AY284" s="45">
        <v>30377.49</v>
      </c>
      <c r="AZ284" s="24">
        <v>0</v>
      </c>
      <c r="BA284" s="24">
        <v>12199.45</v>
      </c>
      <c r="BB284" s="24">
        <v>0</v>
      </c>
      <c r="BC284" s="24">
        <v>11825.06</v>
      </c>
      <c r="BD284" s="24">
        <v>0</v>
      </c>
      <c r="BE284" s="24">
        <v>7343.47</v>
      </c>
      <c r="BF284" s="24">
        <v>0</v>
      </c>
      <c r="BG284" s="24">
        <v>3523.65</v>
      </c>
      <c r="BH284" s="24">
        <v>0</v>
      </c>
      <c r="BI284" s="24">
        <v>3117.65</v>
      </c>
      <c r="BJ284" s="9">
        <f t="shared" si="115"/>
        <v>0</v>
      </c>
      <c r="BK284" s="9">
        <f t="shared" si="115"/>
        <v>107235.2</v>
      </c>
      <c r="BL284" s="153">
        <f>BJ284+BK284</f>
        <v>107235.2</v>
      </c>
      <c r="BM284" s="154"/>
      <c r="BN284" s="154">
        <f>143485.48-105922.77</f>
        <v>37562.71000000001</v>
      </c>
      <c r="BO284" s="154"/>
      <c r="BP284" s="154"/>
      <c r="BQ284" s="154"/>
      <c r="BR284" s="155">
        <f t="shared" si="113"/>
        <v>144797.91</v>
      </c>
      <c r="BS284" s="198">
        <v>1319.69</v>
      </c>
      <c r="BT284" s="199"/>
      <c r="BU284" s="20">
        <f t="shared" si="112"/>
        <v>29202.835999999978</v>
      </c>
      <c r="BV284" s="231">
        <v>51264.25</v>
      </c>
      <c r="BW284" s="229"/>
      <c r="BX284" s="230"/>
    </row>
    <row r="285" spans="1:76" ht="15.75">
      <c r="A285" s="1">
        <v>278</v>
      </c>
      <c r="B285" s="1" t="s">
        <v>259</v>
      </c>
      <c r="C285" s="1">
        <v>526.4</v>
      </c>
      <c r="D285" s="1">
        <v>0</v>
      </c>
      <c r="E285" s="1">
        <f t="shared" si="100"/>
        <v>526.4</v>
      </c>
      <c r="F285" s="2">
        <v>6.73</v>
      </c>
      <c r="G285" s="2">
        <f t="shared" si="114"/>
        <v>3542.672</v>
      </c>
      <c r="H285" s="2">
        <f>G285*6</f>
        <v>21256.032</v>
      </c>
      <c r="I285" s="2">
        <f t="shared" si="101"/>
        <v>6.73</v>
      </c>
      <c r="J285" s="2">
        <f t="shared" si="102"/>
        <v>3542.672</v>
      </c>
      <c r="K285" s="2">
        <f>J285*6</f>
        <v>21256.032</v>
      </c>
      <c r="L285" s="97">
        <f>H285+K285</f>
        <v>42512.064</v>
      </c>
      <c r="M285" s="109">
        <v>3.92</v>
      </c>
      <c r="N285" s="89">
        <f t="shared" si="103"/>
        <v>24761.856</v>
      </c>
      <c r="O285" s="64"/>
      <c r="P285" s="90">
        <f t="shared" si="104"/>
        <v>0</v>
      </c>
      <c r="Q285" s="64"/>
      <c r="R285" s="90">
        <f t="shared" si="105"/>
        <v>0</v>
      </c>
      <c r="S285" s="64"/>
      <c r="T285" s="91">
        <f t="shared" si="106"/>
        <v>0</v>
      </c>
      <c r="U285" s="64">
        <v>0</v>
      </c>
      <c r="V285" s="90">
        <f t="shared" si="107"/>
        <v>0</v>
      </c>
      <c r="W285" s="96">
        <v>3.01</v>
      </c>
      <c r="X285" s="91">
        <f t="shared" si="108"/>
        <v>19013.567999999996</v>
      </c>
      <c r="Y285" s="110">
        <f t="shared" si="111"/>
        <v>43775.424</v>
      </c>
      <c r="Z285" s="32"/>
      <c r="AA285" s="12">
        <f t="shared" si="109"/>
        <v>0</v>
      </c>
      <c r="AB285" s="25">
        <f t="shared" si="110"/>
        <v>42512.064</v>
      </c>
      <c r="AC285" s="44"/>
      <c r="AD285" s="8">
        <f>AB285-AC285</f>
        <v>42512.064</v>
      </c>
      <c r="AE285" s="167">
        <v>17181.696</v>
      </c>
      <c r="AF285" s="168">
        <v>0</v>
      </c>
      <c r="AG285" s="168">
        <v>3542.672000000001</v>
      </c>
      <c r="AH285" s="168">
        <v>0</v>
      </c>
      <c r="AI285" s="168">
        <v>42512.06400000001</v>
      </c>
      <c r="AJ285" s="59" t="s">
        <v>296</v>
      </c>
      <c r="AK285" s="59"/>
      <c r="AL285" s="45">
        <v>0</v>
      </c>
      <c r="AM285" s="45">
        <v>1437.07</v>
      </c>
      <c r="AN285" s="2">
        <v>0</v>
      </c>
      <c r="AO285" s="2">
        <v>1437.07</v>
      </c>
      <c r="AP285" s="1">
        <v>0</v>
      </c>
      <c r="AQ285" s="1">
        <v>1437.07</v>
      </c>
      <c r="AR285" s="24">
        <v>0</v>
      </c>
      <c r="AS285" s="24">
        <v>2135.57</v>
      </c>
      <c r="AT285" s="1">
        <v>0</v>
      </c>
      <c r="AU285" s="1">
        <v>1437.07</v>
      </c>
      <c r="AV285" s="24">
        <v>0</v>
      </c>
      <c r="AW285" s="24">
        <v>1437.07</v>
      </c>
      <c r="AX285" s="45">
        <v>0</v>
      </c>
      <c r="AY285" s="45">
        <v>1437.07</v>
      </c>
      <c r="AZ285" s="24">
        <v>0</v>
      </c>
      <c r="BA285" s="24">
        <v>1437.07</v>
      </c>
      <c r="BB285" s="24">
        <v>0</v>
      </c>
      <c r="BC285" s="24">
        <v>1437.07</v>
      </c>
      <c r="BD285" s="24">
        <v>0</v>
      </c>
      <c r="BE285" s="24">
        <v>2517.07</v>
      </c>
      <c r="BF285" s="24">
        <v>0</v>
      </c>
      <c r="BG285" s="24">
        <v>2263.07</v>
      </c>
      <c r="BH285" s="24">
        <v>0</v>
      </c>
      <c r="BI285" s="24">
        <v>1437.07</v>
      </c>
      <c r="BJ285" s="9">
        <f t="shared" si="115"/>
        <v>0</v>
      </c>
      <c r="BK285" s="9">
        <f t="shared" si="115"/>
        <v>19849.34</v>
      </c>
      <c r="BL285" s="153">
        <f>BJ285+BK285</f>
        <v>19849.34</v>
      </c>
      <c r="BM285" s="154"/>
      <c r="BN285" s="154"/>
      <c r="BO285" s="154"/>
      <c r="BP285" s="154"/>
      <c r="BQ285" s="154"/>
      <c r="BR285" s="155">
        <f t="shared" si="113"/>
        <v>19849.34</v>
      </c>
      <c r="BS285" s="198"/>
      <c r="BT285" s="199"/>
      <c r="BU285" s="20">
        <f t="shared" si="112"/>
        <v>22662.724</v>
      </c>
      <c r="BV285" s="231">
        <v>341301.49</v>
      </c>
      <c r="BW285" s="229"/>
      <c r="BX285" s="230"/>
    </row>
    <row r="286" spans="1:76" ht="19.5" thickBot="1">
      <c r="A286" s="1"/>
      <c r="B286" s="32" t="s">
        <v>270</v>
      </c>
      <c r="C286" s="73">
        <f>SUM(C8:C285)</f>
        <v>453973.8399999999</v>
      </c>
      <c r="D286" s="73">
        <f>SUM(D8:D285)</f>
        <v>23489.959999999995</v>
      </c>
      <c r="E286" s="73">
        <f>SUM(E8:E285)</f>
        <v>477463.7999999999</v>
      </c>
      <c r="F286" s="74"/>
      <c r="G286" s="73">
        <f>SUM(G8:G285)</f>
        <v>7014492.2495</v>
      </c>
      <c r="H286" s="73">
        <f>SUM(H8:H285)</f>
        <v>41759630.077870965</v>
      </c>
      <c r="I286" s="74"/>
      <c r="J286" s="73">
        <f>SUM(J8:J285)</f>
        <v>7016428.3485</v>
      </c>
      <c r="K286" s="73">
        <f>SUM(K8:K285)</f>
        <v>42098570.091000006</v>
      </c>
      <c r="L286" s="98">
        <f>SUM(L8:L285)</f>
        <v>83858200.16887097</v>
      </c>
      <c r="M286" s="111"/>
      <c r="N286" s="112">
        <f>SUM(N8:N285)</f>
        <v>22367808.511999987</v>
      </c>
      <c r="O286" s="113"/>
      <c r="P286" s="112">
        <f>SUM(P8:P285)</f>
        <v>8079468.484799996</v>
      </c>
      <c r="Q286" s="113"/>
      <c r="R286" s="112">
        <f>SUM(R8:R285)</f>
        <v>340079.5007999999</v>
      </c>
      <c r="S286" s="113"/>
      <c r="T286" s="112">
        <f>SUM(T8:T285)</f>
        <v>582059.1455999999</v>
      </c>
      <c r="U286" s="113"/>
      <c r="V286" s="112">
        <f>SUM(V8:V285)</f>
        <v>2210380.8384000002</v>
      </c>
      <c r="W286" s="114"/>
      <c r="X286" s="112">
        <f>SUM(X8:X285)</f>
        <v>435944.028</v>
      </c>
      <c r="Y286" s="115">
        <f>SUM(Y8:Y285)</f>
        <v>34015740.5096</v>
      </c>
      <c r="Z286" s="73">
        <f>SUM(Z8:Z285)</f>
        <v>-28960826.120000005</v>
      </c>
      <c r="AA286" s="73"/>
      <c r="AB286" s="43">
        <f aca="true" t="shared" si="116" ref="AB286:AI286">SUM(AB8:AB285)</f>
        <v>54897374.04887099</v>
      </c>
      <c r="AC286" s="43">
        <f t="shared" si="116"/>
        <v>310000</v>
      </c>
      <c r="AD286" s="43">
        <f t="shared" si="116"/>
        <v>54587374.04887099</v>
      </c>
      <c r="AE286" s="43">
        <f t="shared" si="116"/>
        <v>27857242.598399967</v>
      </c>
      <c r="AF286" s="43">
        <f t="shared" si="116"/>
        <v>1604082.5955550212</v>
      </c>
      <c r="AG286" s="43">
        <f t="shared" si="116"/>
        <v>3862928.527344978</v>
      </c>
      <c r="AH286" s="43">
        <f t="shared" si="116"/>
        <v>19248991.146660246</v>
      </c>
      <c r="AI286" s="43">
        <f t="shared" si="116"/>
        <v>46355142.35213977</v>
      </c>
      <c r="AJ286" s="52"/>
      <c r="AK286" s="52"/>
      <c r="AL286" s="43">
        <f>SUM(AL8:AL285)</f>
        <v>2084232.8800000006</v>
      </c>
      <c r="AM286" s="43">
        <f>SUM(AM8:AM285)</f>
        <v>4134735.470000001</v>
      </c>
      <c r="AN286" s="43">
        <f aca="true" t="shared" si="117" ref="AN286:AS286">SUM(AN8:AN285)</f>
        <v>2451607.8600000003</v>
      </c>
      <c r="AO286" s="43">
        <f t="shared" si="117"/>
        <v>4059986.1800000016</v>
      </c>
      <c r="AP286" s="43">
        <f t="shared" si="117"/>
        <v>1574083.7199999995</v>
      </c>
      <c r="AQ286" s="43">
        <f t="shared" si="117"/>
        <v>4604174.370000002</v>
      </c>
      <c r="AR286" s="43">
        <f t="shared" si="117"/>
        <v>1728097.1099999999</v>
      </c>
      <c r="AS286" s="43">
        <f t="shared" si="117"/>
        <v>4869895.639999998</v>
      </c>
      <c r="AT286" s="43">
        <f aca="true" t="shared" si="118" ref="AT286:AY286">SUM(AT8:AT285)</f>
        <v>1597991.3800000001</v>
      </c>
      <c r="AU286" s="43">
        <f t="shared" si="118"/>
        <v>4251964.619999997</v>
      </c>
      <c r="AV286" s="43">
        <f t="shared" si="118"/>
        <v>2691554.2</v>
      </c>
      <c r="AW286" s="43">
        <f t="shared" si="118"/>
        <v>4063523.789999999</v>
      </c>
      <c r="AX286" s="43">
        <f t="shared" si="118"/>
        <v>2404778.61</v>
      </c>
      <c r="AY286" s="43">
        <f t="shared" si="118"/>
        <v>4751860.749999993</v>
      </c>
      <c r="AZ286" s="43">
        <f aca="true" t="shared" si="119" ref="AZ286:BE286">SUM(AZ8:AZ285)</f>
        <v>1972021.5</v>
      </c>
      <c r="BA286" s="43">
        <f t="shared" si="119"/>
        <v>4392322.100000002</v>
      </c>
      <c r="BB286" s="43">
        <f t="shared" si="119"/>
        <v>1819657.96</v>
      </c>
      <c r="BC286" s="43">
        <f t="shared" si="119"/>
        <v>5005025.799999995</v>
      </c>
      <c r="BD286" s="43">
        <f t="shared" si="119"/>
        <v>1247510.15</v>
      </c>
      <c r="BE286" s="43">
        <f t="shared" si="119"/>
        <v>4195304.510000001</v>
      </c>
      <c r="BF286" s="43">
        <f aca="true" t="shared" si="120" ref="BF286:BV286">SUM(BF8:BF285)</f>
        <v>1327381.4599999997</v>
      </c>
      <c r="BG286" s="43">
        <f t="shared" si="120"/>
        <v>4023087.110000002</v>
      </c>
      <c r="BH286" s="43">
        <f t="shared" si="120"/>
        <v>1628613.27</v>
      </c>
      <c r="BI286" s="43">
        <f t="shared" si="120"/>
        <v>4256894.020000001</v>
      </c>
      <c r="BJ286" s="43">
        <f t="shared" si="120"/>
        <v>22527530.1</v>
      </c>
      <c r="BK286" s="43">
        <f t="shared" si="120"/>
        <v>52608774.36000004</v>
      </c>
      <c r="BL286" s="63">
        <f t="shared" si="120"/>
        <v>75136304.45999996</v>
      </c>
      <c r="BM286" s="63">
        <f t="shared" si="120"/>
        <v>237968.61</v>
      </c>
      <c r="BN286" s="63">
        <f t="shared" si="120"/>
        <v>8115091.3199999975</v>
      </c>
      <c r="BO286" s="63">
        <f t="shared" si="120"/>
        <v>42400.51999999999</v>
      </c>
      <c r="BP286" s="63">
        <f t="shared" si="120"/>
        <v>78583.49999999999</v>
      </c>
      <c r="BQ286" s="203">
        <f t="shared" si="120"/>
        <v>0</v>
      </c>
      <c r="BR286" s="63">
        <f t="shared" si="120"/>
        <v>83610348.40999989</v>
      </c>
      <c r="BS286" s="43">
        <f t="shared" si="120"/>
        <v>576190.6699999999</v>
      </c>
      <c r="BT286" s="205">
        <f t="shared" si="120"/>
        <v>679802</v>
      </c>
      <c r="BU286" s="220">
        <f t="shared" si="120"/>
        <v>-28136783.691129047</v>
      </c>
      <c r="BV286" s="220">
        <f t="shared" si="120"/>
        <v>92340493.87</v>
      </c>
      <c r="BW286" s="229"/>
      <c r="BX286" s="3"/>
    </row>
    <row r="287" spans="1:72" ht="24" customHeight="1" thickTop="1">
      <c r="A287" s="3"/>
      <c r="B287" s="10"/>
      <c r="E287" s="41"/>
      <c r="F287" s="51"/>
      <c r="I287" s="33"/>
      <c r="J287" s="42"/>
      <c r="K287" s="172" t="s">
        <v>321</v>
      </c>
      <c r="L287" s="173">
        <f>L286/12</f>
        <v>6988183.347405914</v>
      </c>
      <c r="M287" s="83"/>
      <c r="N287" s="83">
        <f>N286/12</f>
        <v>1863984.0426666655</v>
      </c>
      <c r="O287" s="83"/>
      <c r="P287" s="83">
        <f>P286/12</f>
        <v>673289.0403999997</v>
      </c>
      <c r="Q287" s="83"/>
      <c r="R287" s="83">
        <f>R286/12</f>
        <v>28339.958399999992</v>
      </c>
      <c r="S287" s="83"/>
      <c r="T287" s="83">
        <f>T286/12</f>
        <v>48504.928799999994</v>
      </c>
      <c r="U287" s="83"/>
      <c r="V287" s="83">
        <f>V286/12</f>
        <v>184198.40320000003</v>
      </c>
      <c r="W287" s="83"/>
      <c r="X287" s="83">
        <f>X286/12</f>
        <v>36328.669</v>
      </c>
      <c r="Y287" s="83"/>
      <c r="AA287" s="171">
        <f>Z286/L286</f>
        <v>-0.34535473050553933</v>
      </c>
      <c r="AB287" s="13" t="s">
        <v>354</v>
      </c>
      <c r="AD287" s="6"/>
      <c r="AE287" s="183" t="s">
        <v>356</v>
      </c>
      <c r="AF287" s="184">
        <v>1666408.34</v>
      </c>
      <c r="AG287" s="185">
        <v>4014523.62</v>
      </c>
      <c r="AH287" s="75"/>
      <c r="AI287" s="80">
        <f>AH286+AI286</f>
        <v>65604133.49880002</v>
      </c>
      <c r="AJ287" s="61" t="s">
        <v>331</v>
      </c>
      <c r="AK287" s="60"/>
      <c r="AL287" s="186"/>
      <c r="AM287" s="187"/>
      <c r="AN287" s="13"/>
      <c r="AO287" s="13"/>
      <c r="AP287" s="13"/>
      <c r="AQ287" s="13"/>
      <c r="AR287" s="196" t="s">
        <v>283</v>
      </c>
      <c r="AS287" s="196" t="s">
        <v>284</v>
      </c>
      <c r="AT287" s="196" t="s">
        <v>283</v>
      </c>
      <c r="AU287" s="196" t="s">
        <v>284</v>
      </c>
      <c r="AV287" s="196" t="s">
        <v>283</v>
      </c>
      <c r="AW287" s="196" t="s">
        <v>284</v>
      </c>
      <c r="AX287" s="196" t="s">
        <v>283</v>
      </c>
      <c r="AY287" s="196" t="s">
        <v>284</v>
      </c>
      <c r="AZ287" s="196" t="s">
        <v>283</v>
      </c>
      <c r="BA287" s="196" t="s">
        <v>284</v>
      </c>
      <c r="BB287" s="196" t="s">
        <v>283</v>
      </c>
      <c r="BC287" s="196" t="s">
        <v>284</v>
      </c>
      <c r="BD287" s="196" t="s">
        <v>283</v>
      </c>
      <c r="BE287" s="196" t="s">
        <v>284</v>
      </c>
      <c r="BF287" s="196" t="s">
        <v>283</v>
      </c>
      <c r="BG287" s="196" t="s">
        <v>284</v>
      </c>
      <c r="BH287" s="196" t="s">
        <v>283</v>
      </c>
      <c r="BI287" s="196" t="s">
        <v>284</v>
      </c>
      <c r="BJ287" s="196" t="s">
        <v>283</v>
      </c>
      <c r="BK287" s="196" t="s">
        <v>284</v>
      </c>
      <c r="BL287" s="174"/>
      <c r="BM287" s="174"/>
      <c r="BN287" s="174"/>
      <c r="BO287" s="174"/>
      <c r="BP287" s="174"/>
      <c r="BS287" s="6"/>
      <c r="BT287" s="174"/>
    </row>
    <row r="288" spans="2:73" ht="17.25" customHeight="1">
      <c r="B288" s="7"/>
      <c r="C288" s="7"/>
      <c r="D288" s="7"/>
      <c r="E288" s="7"/>
      <c r="K288" s="37"/>
      <c r="L288" s="30"/>
      <c r="M288" s="3"/>
      <c r="N288" s="3"/>
      <c r="O288" s="3"/>
      <c r="Q288" s="3"/>
      <c r="S288" s="3"/>
      <c r="T288" s="3"/>
      <c r="U288" s="3"/>
      <c r="V288" s="3"/>
      <c r="W288" s="3"/>
      <c r="X288" s="3"/>
      <c r="Y288" s="3"/>
      <c r="Z288" s="170"/>
      <c r="AB288" s="13"/>
      <c r="AC288" s="36"/>
      <c r="AD288" s="13"/>
      <c r="AF288" s="75"/>
      <c r="AG288" s="75">
        <f>(AF286+AG286)*3</f>
        <v>16401033.368699998</v>
      </c>
      <c r="AH288" s="19"/>
      <c r="AI288" s="80"/>
      <c r="AL288" s="6"/>
      <c r="AM288" s="6"/>
      <c r="AN288" s="13"/>
      <c r="AO288" s="13"/>
      <c r="AP288" s="6"/>
      <c r="AQ288" s="13"/>
      <c r="AR288" s="6"/>
      <c r="AS288" s="6"/>
      <c r="AT288" s="6"/>
      <c r="AU288" s="11"/>
      <c r="AV288" s="6"/>
      <c r="AW288" s="13"/>
      <c r="AX288" s="6"/>
      <c r="AY288" s="23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175"/>
      <c r="BL288" s="174"/>
      <c r="BM288" s="174"/>
      <c r="BN288" s="174"/>
      <c r="BO288" s="174"/>
      <c r="BP288" s="174"/>
      <c r="BS288" s="176"/>
      <c r="BT288" s="176"/>
      <c r="BU288" s="13"/>
    </row>
    <row r="289" spans="2:73" ht="45.75" customHeight="1">
      <c r="B289" s="3"/>
      <c r="C289" s="11"/>
      <c r="D289" s="11"/>
      <c r="E289" s="11"/>
      <c r="AD289" s="6"/>
      <c r="AE289" s="13"/>
      <c r="AG289" s="13"/>
      <c r="AH289" s="6"/>
      <c r="AI289" s="177">
        <f>AB286-AI287</f>
        <v>-10706759.449929029</v>
      </c>
      <c r="AJ289" s="76" t="s">
        <v>353</v>
      </c>
      <c r="AL289" s="6"/>
      <c r="AM289" s="6"/>
      <c r="AN289" s="13"/>
      <c r="AO289" s="13"/>
      <c r="AP289" s="6"/>
      <c r="AQ289" s="6"/>
      <c r="AR289" s="6"/>
      <c r="AS289" s="6"/>
      <c r="AT289" s="6"/>
      <c r="AU289" s="6"/>
      <c r="AV289" s="6"/>
      <c r="AW289" s="13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7"/>
      <c r="BJ289" s="178"/>
      <c r="BK289" s="178"/>
      <c r="BL289" s="179"/>
      <c r="BM289" s="179"/>
      <c r="BN289" s="179"/>
      <c r="BO289" s="174"/>
      <c r="BP289" s="174"/>
      <c r="BS289" s="6"/>
      <c r="BT289" s="200"/>
      <c r="BU289" s="13"/>
    </row>
    <row r="291" spans="30:73" ht="15.75">
      <c r="AD291" s="6"/>
      <c r="AH291" s="6"/>
      <c r="AI291" s="6"/>
      <c r="AK291" s="34"/>
      <c r="AL291" s="7"/>
      <c r="AM291" s="7"/>
      <c r="AN291" s="75"/>
      <c r="AO291" s="75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174"/>
      <c r="BM291" s="174"/>
      <c r="BN291" s="174"/>
      <c r="BO291" s="174"/>
      <c r="BP291" s="174"/>
      <c r="BQ291" s="181"/>
      <c r="BR291" s="77"/>
      <c r="BS291" s="38"/>
      <c r="BT291" s="81"/>
      <c r="BU291" s="182"/>
    </row>
    <row r="292" spans="30:76" ht="12.75">
      <c r="AD292" s="6"/>
      <c r="AH292" s="6"/>
      <c r="AI292" s="6"/>
      <c r="AK292" s="34"/>
      <c r="AL292" s="7"/>
      <c r="AM292" s="7"/>
      <c r="AN292" s="75"/>
      <c r="AO292" s="75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174"/>
      <c r="BM292" s="174"/>
      <c r="BN292" s="174"/>
      <c r="BO292" s="174"/>
      <c r="BP292" s="174"/>
      <c r="BQ292" s="181"/>
      <c r="BR292" s="77"/>
      <c r="BS292" s="38"/>
      <c r="BT292" s="81"/>
      <c r="BU292" s="38"/>
      <c r="BV292" s="3"/>
      <c r="BW292" s="3"/>
      <c r="BX292" s="3"/>
    </row>
    <row r="293" spans="30:76" ht="12.75">
      <c r="AD293" s="6"/>
      <c r="AH293" s="6"/>
      <c r="AI293" s="6"/>
      <c r="AK293" s="34"/>
      <c r="AL293" s="75"/>
      <c r="AM293" s="75"/>
      <c r="AN293" s="75"/>
      <c r="AO293" s="75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174"/>
      <c r="BM293" s="174"/>
      <c r="BN293" s="174"/>
      <c r="BO293" s="174"/>
      <c r="BP293" s="174"/>
      <c r="BQ293" s="181"/>
      <c r="BR293" s="77"/>
      <c r="BS293" s="38"/>
      <c r="BT293" s="81"/>
      <c r="BU293" s="180"/>
      <c r="BV293" s="3"/>
      <c r="BW293" s="3"/>
      <c r="BX293" s="3"/>
    </row>
    <row r="294" spans="30:76" ht="15.75">
      <c r="AD294" s="6"/>
      <c r="AH294" s="6"/>
      <c r="AI294" s="6"/>
      <c r="AK294" s="16"/>
      <c r="AL294" s="80"/>
      <c r="AM294" s="80"/>
      <c r="AN294" s="80"/>
      <c r="AO294" s="80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174"/>
      <c r="BM294" s="174"/>
      <c r="BN294" s="174"/>
      <c r="BO294" s="174"/>
      <c r="BP294" s="174"/>
      <c r="BQ294" s="181"/>
      <c r="BR294" s="77"/>
      <c r="BS294" s="38"/>
      <c r="BT294" s="81"/>
      <c r="BU294" s="38"/>
      <c r="BV294" s="3"/>
      <c r="BW294" s="3"/>
      <c r="BX294" s="3"/>
    </row>
    <row r="295" spans="30:76" ht="12.75">
      <c r="AD295" s="6"/>
      <c r="AH295" s="6"/>
      <c r="AI295" s="6"/>
      <c r="AK295" s="81"/>
      <c r="AL295" s="3"/>
      <c r="AM295" s="3"/>
      <c r="AN295" s="23"/>
      <c r="AO295" s="23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174"/>
      <c r="BM295" s="174"/>
      <c r="BN295" s="174"/>
      <c r="BO295" s="174"/>
      <c r="BP295" s="174"/>
      <c r="BQ295" s="181"/>
      <c r="BR295" s="77"/>
      <c r="BS295" s="38"/>
      <c r="BT295" s="81"/>
      <c r="BU295" s="38"/>
      <c r="BV295" s="3"/>
      <c r="BW295" s="3"/>
      <c r="BX295" s="3"/>
    </row>
    <row r="296" spans="30:76" ht="12.75">
      <c r="AD296" s="6"/>
      <c r="AH296" s="6"/>
      <c r="AI296" s="6"/>
      <c r="AK296" s="61"/>
      <c r="AL296" s="6"/>
      <c r="AM296" s="6"/>
      <c r="AN296" s="13"/>
      <c r="AO296" s="13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174"/>
      <c r="BM296" s="174"/>
      <c r="BN296" s="174"/>
      <c r="BO296" s="174"/>
      <c r="BP296" s="174"/>
      <c r="BQ296" s="181"/>
      <c r="BR296" s="77"/>
      <c r="BS296" s="38"/>
      <c r="BT296" s="81"/>
      <c r="BU296" s="38"/>
      <c r="BV296" s="3"/>
      <c r="BW296" s="3"/>
      <c r="BX296" s="3"/>
    </row>
    <row r="297" spans="30:76" ht="12.75">
      <c r="AD297" s="6"/>
      <c r="AH297" s="6"/>
      <c r="AI297" s="6"/>
      <c r="AK297" s="61"/>
      <c r="AL297" s="6"/>
      <c r="AM297" s="6"/>
      <c r="AN297" s="13"/>
      <c r="AO297" s="13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174"/>
      <c r="BM297" s="174"/>
      <c r="BN297" s="174"/>
      <c r="BO297" s="174"/>
      <c r="BP297" s="174"/>
      <c r="BS297" s="6"/>
      <c r="BT297" s="201"/>
      <c r="BV297" s="3"/>
      <c r="BW297" s="3"/>
      <c r="BX297" s="3"/>
    </row>
    <row r="298" spans="30:72" ht="12.75">
      <c r="AD298" s="6"/>
      <c r="AH298" s="6"/>
      <c r="AI298" s="6"/>
      <c r="AK298" s="61"/>
      <c r="AL298" s="6"/>
      <c r="AM298" s="6"/>
      <c r="AN298" s="13"/>
      <c r="AO298" s="13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174"/>
      <c r="BM298" s="174"/>
      <c r="BN298" s="174"/>
      <c r="BO298" s="174"/>
      <c r="BP298" s="174"/>
      <c r="BS298" s="6"/>
      <c r="BT298" s="201"/>
    </row>
    <row r="299" spans="30:72" ht="12.75">
      <c r="AD299" s="6"/>
      <c r="AH299" s="6"/>
      <c r="AI299" s="6"/>
      <c r="AK299" s="61"/>
      <c r="AL299" s="6"/>
      <c r="AM299" s="6"/>
      <c r="AN299" s="13"/>
      <c r="AO299" s="13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174"/>
      <c r="BM299" s="174"/>
      <c r="BN299" s="174"/>
      <c r="BO299" s="174"/>
      <c r="BP299" s="174"/>
      <c r="BS299" s="6"/>
      <c r="BT299" s="201"/>
    </row>
    <row r="300" spans="30:72" ht="12.75">
      <c r="AD300" s="6"/>
      <c r="AH300" s="6"/>
      <c r="AI300" s="6"/>
      <c r="AK300" s="61"/>
      <c r="AL300" s="6"/>
      <c r="AM300" s="6"/>
      <c r="AN300" s="13"/>
      <c r="AO300" s="13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174"/>
      <c r="BM300" s="174"/>
      <c r="BN300" s="174"/>
      <c r="BO300" s="174"/>
      <c r="BP300" s="174"/>
      <c r="BS300" s="6"/>
      <c r="BT300" s="201"/>
    </row>
    <row r="301" spans="30:72" ht="12.75">
      <c r="AD301" s="6"/>
      <c r="AH301" s="6"/>
      <c r="AI301" s="6"/>
      <c r="AK301" s="61"/>
      <c r="AL301" s="6"/>
      <c r="AM301" s="6"/>
      <c r="AN301" s="13"/>
      <c r="AO301" s="13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174"/>
      <c r="BM301" s="174"/>
      <c r="BN301" s="174"/>
      <c r="BO301" s="174"/>
      <c r="BP301" s="174"/>
      <c r="BS301" s="6"/>
      <c r="BT301" s="201"/>
    </row>
    <row r="302" spans="30:72" ht="12.75">
      <c r="AD302" s="6"/>
      <c r="AH302" s="6"/>
      <c r="AI302" s="6"/>
      <c r="AK302" s="61"/>
      <c r="AL302" s="6"/>
      <c r="AM302" s="6"/>
      <c r="AN302" s="13"/>
      <c r="AO302" s="13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174"/>
      <c r="BM302" s="174"/>
      <c r="BN302" s="174"/>
      <c r="BO302" s="174"/>
      <c r="BP302" s="174"/>
      <c r="BS302" s="6"/>
      <c r="BT302" s="201"/>
    </row>
    <row r="303" spans="30:72" ht="12.75">
      <c r="AD303" s="6"/>
      <c r="AH303" s="6"/>
      <c r="AI303" s="6"/>
      <c r="AK303" s="61"/>
      <c r="AL303" s="6"/>
      <c r="AM303" s="6"/>
      <c r="AN303" s="13"/>
      <c r="AO303" s="13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174"/>
      <c r="BM303" s="174"/>
      <c r="BN303" s="174"/>
      <c r="BO303" s="174"/>
      <c r="BP303" s="174"/>
      <c r="BS303" s="6"/>
      <c r="BT303" s="201"/>
    </row>
    <row r="304" spans="30:72" ht="12.75">
      <c r="AD304" s="6"/>
      <c r="AH304" s="6"/>
      <c r="AI304" s="6"/>
      <c r="AK304" s="61"/>
      <c r="AL304" s="6"/>
      <c r="AM304" s="6"/>
      <c r="AN304" s="13"/>
      <c r="AO304" s="13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174"/>
      <c r="BM304" s="174"/>
      <c r="BN304" s="174"/>
      <c r="BO304" s="174"/>
      <c r="BP304" s="174"/>
      <c r="BS304" s="6"/>
      <c r="BT304" s="201"/>
    </row>
    <row r="305" spans="30:72" ht="12.75">
      <c r="AD305" s="6"/>
      <c r="AH305" s="6"/>
      <c r="AI305" s="6"/>
      <c r="AK305" s="61"/>
      <c r="AL305" s="6"/>
      <c r="AM305" s="6"/>
      <c r="AN305" s="13"/>
      <c r="AO305" s="13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174"/>
      <c r="BM305" s="174"/>
      <c r="BN305" s="174"/>
      <c r="BO305" s="174"/>
      <c r="BP305" s="174"/>
      <c r="BS305" s="6"/>
      <c r="BT305" s="201"/>
    </row>
    <row r="306" spans="30:72" ht="12.75">
      <c r="AD306" s="6"/>
      <c r="AH306" s="6"/>
      <c r="AI306" s="6"/>
      <c r="AK306" s="61"/>
      <c r="AL306" s="6"/>
      <c r="AM306" s="6"/>
      <c r="AN306" s="13"/>
      <c r="AO306" s="13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174"/>
      <c r="BM306" s="174"/>
      <c r="BN306" s="174"/>
      <c r="BO306" s="174"/>
      <c r="BP306" s="174"/>
      <c r="BS306" s="6"/>
      <c r="BT306" s="201"/>
    </row>
    <row r="307" spans="30:72" ht="12.75">
      <c r="AD307" s="6"/>
      <c r="AH307" s="6"/>
      <c r="AI307" s="6"/>
      <c r="AK307" s="61"/>
      <c r="AL307" s="6"/>
      <c r="AM307" s="6"/>
      <c r="AN307" s="13"/>
      <c r="AO307" s="13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174"/>
      <c r="BM307" s="174"/>
      <c r="BN307" s="174"/>
      <c r="BO307" s="174"/>
      <c r="BP307" s="174"/>
      <c r="BS307" s="6"/>
      <c r="BT307" s="201"/>
    </row>
    <row r="308" spans="30:72" ht="12.75">
      <c r="AD308" s="6"/>
      <c r="AH308" s="6"/>
      <c r="AI308" s="6"/>
      <c r="AK308" s="61"/>
      <c r="AL308" s="6"/>
      <c r="AM308" s="6"/>
      <c r="AN308" s="13"/>
      <c r="AO308" s="13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174"/>
      <c r="BM308" s="174"/>
      <c r="BN308" s="174"/>
      <c r="BO308" s="174"/>
      <c r="BP308" s="174"/>
      <c r="BS308" s="6"/>
      <c r="BT308" s="201"/>
    </row>
    <row r="309" spans="30:72" ht="12.75">
      <c r="AD309" s="6"/>
      <c r="AH309" s="6"/>
      <c r="AI309" s="6"/>
      <c r="AK309" s="61"/>
      <c r="AL309" s="6"/>
      <c r="AM309" s="6"/>
      <c r="AN309" s="13"/>
      <c r="AO309" s="13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174"/>
      <c r="BM309" s="174"/>
      <c r="BN309" s="174"/>
      <c r="BO309" s="174"/>
      <c r="BP309" s="174"/>
      <c r="BS309" s="6"/>
      <c r="BT309" s="201"/>
    </row>
    <row r="310" spans="30:72" ht="12.75">
      <c r="AD310" s="6"/>
      <c r="AH310" s="6"/>
      <c r="AI310" s="6"/>
      <c r="AK310" s="61"/>
      <c r="AL310" s="6"/>
      <c r="AM310" s="6"/>
      <c r="AN310" s="13"/>
      <c r="AO310" s="13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174"/>
      <c r="BM310" s="174"/>
      <c r="BN310" s="174"/>
      <c r="BO310" s="174"/>
      <c r="BP310" s="174"/>
      <c r="BS310" s="6"/>
      <c r="BT310" s="201"/>
    </row>
    <row r="311" spans="30:72" ht="12.75">
      <c r="AD311" s="6"/>
      <c r="AH311" s="6"/>
      <c r="AI311" s="6"/>
      <c r="AK311" s="61"/>
      <c r="AL311" s="6"/>
      <c r="AM311" s="6"/>
      <c r="AN311" s="13"/>
      <c r="AO311" s="13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174"/>
      <c r="BM311" s="174"/>
      <c r="BN311" s="174"/>
      <c r="BO311" s="174"/>
      <c r="BP311" s="174"/>
      <c r="BS311" s="6"/>
      <c r="BT311" s="201"/>
    </row>
    <row r="312" spans="30:76" ht="12.75">
      <c r="AD312" s="6"/>
      <c r="AH312" s="6"/>
      <c r="AI312" s="6"/>
      <c r="AK312" s="61"/>
      <c r="AL312" s="6"/>
      <c r="AM312" s="6"/>
      <c r="AN312" s="13"/>
      <c r="AO312" s="13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174"/>
      <c r="BM312" s="174"/>
      <c r="BN312" s="174"/>
      <c r="BO312" s="174"/>
      <c r="BP312" s="174"/>
      <c r="BS312" s="6"/>
      <c r="BT312" s="201"/>
      <c r="BW312" s="1"/>
      <c r="BX312" s="228"/>
    </row>
    <row r="313" spans="30:76" ht="12.75">
      <c r="AD313" s="6"/>
      <c r="AH313" s="6"/>
      <c r="AI313" s="6"/>
      <c r="AK313" s="61"/>
      <c r="AL313" s="6"/>
      <c r="AM313" s="6"/>
      <c r="AN313" s="13"/>
      <c r="AO313" s="13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174"/>
      <c r="BM313" s="174"/>
      <c r="BN313" s="174"/>
      <c r="BO313" s="174"/>
      <c r="BP313" s="174"/>
      <c r="BS313" s="6"/>
      <c r="BT313" s="201"/>
      <c r="BW313" s="1"/>
      <c r="BX313" s="228"/>
    </row>
    <row r="314" spans="30:72" ht="12.75">
      <c r="AD314" s="6"/>
      <c r="AH314" s="6"/>
      <c r="AI314" s="6"/>
      <c r="AK314" s="61"/>
      <c r="AL314" s="6"/>
      <c r="AM314" s="6"/>
      <c r="AN314" s="13"/>
      <c r="AO314" s="13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174"/>
      <c r="BM314" s="174"/>
      <c r="BN314" s="174"/>
      <c r="BO314" s="174"/>
      <c r="BP314" s="174"/>
      <c r="BS314" s="6"/>
      <c r="BT314" s="201"/>
    </row>
    <row r="315" spans="30:76" ht="12.75">
      <c r="AD315" s="6"/>
      <c r="AH315" s="6"/>
      <c r="AI315" s="6"/>
      <c r="AK315" s="61"/>
      <c r="AL315" s="6"/>
      <c r="AM315" s="6"/>
      <c r="AN315" s="13"/>
      <c r="AO315" s="13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174"/>
      <c r="BM315" s="174"/>
      <c r="BN315" s="174"/>
      <c r="BO315" s="174"/>
      <c r="BP315" s="174"/>
      <c r="BS315" s="6"/>
      <c r="BT315" s="201"/>
      <c r="BW315" s="1"/>
      <c r="BX315" s="228"/>
    </row>
    <row r="316" spans="30:76" ht="12.75">
      <c r="AD316" s="6"/>
      <c r="AH316" s="6"/>
      <c r="AI316" s="6"/>
      <c r="AK316" s="61"/>
      <c r="AL316" s="6"/>
      <c r="AM316" s="6"/>
      <c r="AN316" s="13"/>
      <c r="AO316" s="13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174"/>
      <c r="BM316" s="174"/>
      <c r="BN316" s="174"/>
      <c r="BO316" s="174"/>
      <c r="BP316" s="174"/>
      <c r="BS316" s="6"/>
      <c r="BT316" s="201"/>
      <c r="BW316" s="1"/>
      <c r="BX316" s="228"/>
    </row>
    <row r="317" spans="30:76" ht="12.75">
      <c r="AD317" s="6"/>
      <c r="AH317" s="6"/>
      <c r="AI317" s="6"/>
      <c r="AK317" s="61"/>
      <c r="AL317" s="6"/>
      <c r="AM317" s="6"/>
      <c r="AN317" s="13"/>
      <c r="AO317" s="13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174"/>
      <c r="BM317" s="174"/>
      <c r="BN317" s="174"/>
      <c r="BO317" s="174"/>
      <c r="BP317" s="174"/>
      <c r="BS317" s="6"/>
      <c r="BT317" s="201"/>
      <c r="BW317" s="1"/>
      <c r="BX317" s="228"/>
    </row>
    <row r="318" spans="30:72" ht="12.75">
      <c r="AD318" s="6"/>
      <c r="AH318" s="6"/>
      <c r="AI318" s="6"/>
      <c r="AK318" s="61"/>
      <c r="AL318" s="6"/>
      <c r="AM318" s="6"/>
      <c r="AN318" s="13"/>
      <c r="AO318" s="13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174"/>
      <c r="BM318" s="174"/>
      <c r="BN318" s="174"/>
      <c r="BO318" s="174"/>
      <c r="BP318" s="174"/>
      <c r="BS318" s="6"/>
      <c r="BT318" s="201"/>
    </row>
    <row r="319" spans="30:72" ht="12.75">
      <c r="AD319" s="6"/>
      <c r="AH319" s="6"/>
      <c r="AI319" s="6"/>
      <c r="AK319" s="61"/>
      <c r="AL319" s="6"/>
      <c r="AM319" s="6"/>
      <c r="AN319" s="13"/>
      <c r="AO319" s="13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174"/>
      <c r="BM319" s="174"/>
      <c r="BN319" s="174"/>
      <c r="BO319" s="174"/>
      <c r="BP319" s="174"/>
      <c r="BS319" s="6"/>
      <c r="BT319" s="201"/>
    </row>
    <row r="320" spans="30:72" ht="12.75">
      <c r="AD320" s="6"/>
      <c r="AH320" s="6"/>
      <c r="AI320" s="6"/>
      <c r="AK320" s="61"/>
      <c r="AL320" s="6"/>
      <c r="AM320" s="6"/>
      <c r="AN320" s="13"/>
      <c r="AO320" s="13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174"/>
      <c r="BM320" s="174"/>
      <c r="BN320" s="174"/>
      <c r="BO320" s="174"/>
      <c r="BP320" s="174"/>
      <c r="BS320" s="6"/>
      <c r="BT320" s="201"/>
    </row>
    <row r="321" spans="30:72" ht="12.75">
      <c r="AD321" s="6"/>
      <c r="AH321" s="6"/>
      <c r="AI321" s="6"/>
      <c r="AK321" s="61"/>
      <c r="AL321" s="6"/>
      <c r="AM321" s="6"/>
      <c r="AN321" s="13"/>
      <c r="AO321" s="13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174"/>
      <c r="BM321" s="174"/>
      <c r="BN321" s="174"/>
      <c r="BO321" s="174"/>
      <c r="BP321" s="174"/>
      <c r="BS321" s="6"/>
      <c r="BT321" s="201"/>
    </row>
    <row r="322" spans="30:72" ht="12.75">
      <c r="AD322" s="6"/>
      <c r="AH322" s="6"/>
      <c r="AI322" s="6"/>
      <c r="AK322" s="61"/>
      <c r="AL322" s="6"/>
      <c r="AM322" s="6"/>
      <c r="AN322" s="13"/>
      <c r="AO322" s="13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174"/>
      <c r="BM322" s="174"/>
      <c r="BN322" s="174"/>
      <c r="BO322" s="174"/>
      <c r="BP322" s="174"/>
      <c r="BS322" s="6"/>
      <c r="BT322" s="201"/>
    </row>
    <row r="323" spans="30:72" ht="12.75">
      <c r="AD323" s="6"/>
      <c r="AH323" s="6"/>
      <c r="AI323" s="6"/>
      <c r="AK323" s="61"/>
      <c r="AL323" s="6"/>
      <c r="AM323" s="6"/>
      <c r="AN323" s="13"/>
      <c r="AO323" s="13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174"/>
      <c r="BM323" s="174"/>
      <c r="BN323" s="174"/>
      <c r="BO323" s="174"/>
      <c r="BP323" s="174"/>
      <c r="BS323" s="6"/>
      <c r="BT323" s="201"/>
    </row>
    <row r="324" spans="30:72" ht="12.75">
      <c r="AD324" s="6"/>
      <c r="AH324" s="6"/>
      <c r="AI324" s="6"/>
      <c r="AK324" s="61"/>
      <c r="AL324" s="6"/>
      <c r="AM324" s="6"/>
      <c r="AN324" s="13"/>
      <c r="AO324" s="13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174"/>
      <c r="BM324" s="174"/>
      <c r="BN324" s="174"/>
      <c r="BO324" s="174"/>
      <c r="BP324" s="174"/>
      <c r="BS324" s="6"/>
      <c r="BT324" s="201"/>
    </row>
    <row r="325" spans="30:72" ht="12.75">
      <c r="AD325" s="6"/>
      <c r="AH325" s="6"/>
      <c r="AI325" s="6"/>
      <c r="AK325" s="61"/>
      <c r="AL325" s="6"/>
      <c r="AM325" s="6"/>
      <c r="AN325" s="13"/>
      <c r="AO325" s="13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174"/>
      <c r="BM325" s="174"/>
      <c r="BN325" s="174"/>
      <c r="BO325" s="174"/>
      <c r="BP325" s="174"/>
      <c r="BS325" s="6"/>
      <c r="BT325" s="201"/>
    </row>
    <row r="326" spans="30:72" ht="12.75">
      <c r="AD326" s="6"/>
      <c r="AH326" s="6"/>
      <c r="AI326" s="6"/>
      <c r="AK326" s="61"/>
      <c r="AL326" s="6"/>
      <c r="AM326" s="6"/>
      <c r="AN326" s="13"/>
      <c r="AO326" s="13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174"/>
      <c r="BM326" s="174"/>
      <c r="BN326" s="174"/>
      <c r="BO326" s="174"/>
      <c r="BP326" s="174"/>
      <c r="BS326" s="6"/>
      <c r="BT326" s="201"/>
    </row>
    <row r="327" spans="30:72" ht="12.75">
      <c r="AD327" s="6"/>
      <c r="AH327" s="6"/>
      <c r="AI327" s="6"/>
      <c r="AK327" s="61"/>
      <c r="AL327" s="6"/>
      <c r="AM327" s="6"/>
      <c r="AN327" s="13"/>
      <c r="AO327" s="13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174"/>
      <c r="BM327" s="174"/>
      <c r="BN327" s="174"/>
      <c r="BO327" s="174"/>
      <c r="BP327" s="174"/>
      <c r="BS327" s="6"/>
      <c r="BT327" s="201"/>
    </row>
    <row r="328" spans="30:72" ht="12.75">
      <c r="AD328" s="6"/>
      <c r="AH328" s="6"/>
      <c r="AI328" s="6"/>
      <c r="AK328" s="61"/>
      <c r="AL328" s="6"/>
      <c r="AM328" s="6"/>
      <c r="AN328" s="13"/>
      <c r="AO328" s="13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174"/>
      <c r="BM328" s="174"/>
      <c r="BN328" s="174"/>
      <c r="BO328" s="174"/>
      <c r="BP328" s="174"/>
      <c r="BS328" s="6"/>
      <c r="BT328" s="201"/>
    </row>
    <row r="329" spans="30:72" ht="12.75">
      <c r="AD329" s="6"/>
      <c r="AH329" s="6"/>
      <c r="AI329" s="6"/>
      <c r="AK329" s="61"/>
      <c r="AL329" s="6"/>
      <c r="AM329" s="6"/>
      <c r="AN329" s="13"/>
      <c r="AO329" s="13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174"/>
      <c r="BM329" s="174"/>
      <c r="BN329" s="174"/>
      <c r="BO329" s="174"/>
      <c r="BP329" s="174"/>
      <c r="BS329" s="6"/>
      <c r="BT329" s="201"/>
    </row>
    <row r="330" spans="30:72" ht="12.75">
      <c r="AD330" s="6"/>
      <c r="AH330" s="6"/>
      <c r="AI330" s="6"/>
      <c r="AK330" s="61"/>
      <c r="AL330" s="6"/>
      <c r="AM330" s="6"/>
      <c r="AN330" s="13"/>
      <c r="AO330" s="13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174"/>
      <c r="BM330" s="174"/>
      <c r="BN330" s="174"/>
      <c r="BO330" s="174"/>
      <c r="BP330" s="174"/>
      <c r="BS330" s="6"/>
      <c r="BT330" s="201"/>
    </row>
    <row r="331" spans="30:72" ht="12.75">
      <c r="AD331" s="6"/>
      <c r="AH331" s="6"/>
      <c r="AI331" s="6"/>
      <c r="AK331" s="61"/>
      <c r="AL331" s="6"/>
      <c r="AM331" s="6"/>
      <c r="AN331" s="13"/>
      <c r="AO331" s="13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174"/>
      <c r="BM331" s="174"/>
      <c r="BN331" s="174"/>
      <c r="BO331" s="174"/>
      <c r="BP331" s="174"/>
      <c r="BS331" s="6"/>
      <c r="BT331" s="201"/>
    </row>
    <row r="332" spans="30:72" ht="12.75">
      <c r="AD332" s="6"/>
      <c r="AH332" s="6"/>
      <c r="AI332" s="6"/>
      <c r="AK332" s="61"/>
      <c r="AL332" s="6"/>
      <c r="AM332" s="6"/>
      <c r="AN332" s="13"/>
      <c r="AO332" s="13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174"/>
      <c r="BM332" s="174"/>
      <c r="BN332" s="174"/>
      <c r="BO332" s="174"/>
      <c r="BP332" s="174"/>
      <c r="BS332" s="6"/>
      <c r="BT332" s="201"/>
    </row>
    <row r="333" spans="30:72" ht="12.75">
      <c r="AD333" s="6"/>
      <c r="AH333" s="6"/>
      <c r="AI333" s="6"/>
      <c r="AK333" s="61"/>
      <c r="AL333" s="6"/>
      <c r="AM333" s="6"/>
      <c r="AN333" s="13"/>
      <c r="AO333" s="13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174"/>
      <c r="BM333" s="174"/>
      <c r="BN333" s="174"/>
      <c r="BO333" s="174"/>
      <c r="BP333" s="174"/>
      <c r="BS333" s="6"/>
      <c r="BT333" s="201"/>
    </row>
    <row r="334" spans="30:72" ht="12.75">
      <c r="AD334" s="6"/>
      <c r="AH334" s="6"/>
      <c r="AI334" s="6"/>
      <c r="AK334" s="61"/>
      <c r="AL334" s="6"/>
      <c r="AM334" s="6"/>
      <c r="AN334" s="13"/>
      <c r="AO334" s="13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174"/>
      <c r="BM334" s="174"/>
      <c r="BN334" s="174"/>
      <c r="BO334" s="174"/>
      <c r="BP334" s="174"/>
      <c r="BS334" s="6"/>
      <c r="BT334" s="201"/>
    </row>
    <row r="335" spans="30:72" ht="12.75">
      <c r="AD335" s="6"/>
      <c r="AH335" s="6"/>
      <c r="AI335" s="6"/>
      <c r="AK335" s="61"/>
      <c r="AL335" s="6"/>
      <c r="AM335" s="6"/>
      <c r="AN335" s="13"/>
      <c r="AO335" s="13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174"/>
      <c r="BM335" s="174"/>
      <c r="BN335" s="174"/>
      <c r="BO335" s="174"/>
      <c r="BP335" s="174"/>
      <c r="BS335" s="6"/>
      <c r="BT335" s="201"/>
    </row>
    <row r="336" spans="30:72" ht="12.75">
      <c r="AD336" s="6"/>
      <c r="AH336" s="6"/>
      <c r="AI336" s="6"/>
      <c r="AK336" s="61"/>
      <c r="AL336" s="6"/>
      <c r="AM336" s="6"/>
      <c r="AN336" s="13"/>
      <c r="AO336" s="13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174"/>
      <c r="BM336" s="174"/>
      <c r="BN336" s="174"/>
      <c r="BO336" s="174"/>
      <c r="BP336" s="174"/>
      <c r="BS336" s="6"/>
      <c r="BT336" s="201"/>
    </row>
    <row r="337" spans="30:72" ht="12.75">
      <c r="AD337" s="6"/>
      <c r="AH337" s="6"/>
      <c r="AI337" s="6"/>
      <c r="AK337" s="61"/>
      <c r="AL337" s="6"/>
      <c r="AM337" s="6"/>
      <c r="AN337" s="13"/>
      <c r="AO337" s="13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174"/>
      <c r="BM337" s="174"/>
      <c r="BN337" s="174"/>
      <c r="BO337" s="174"/>
      <c r="BP337" s="174"/>
      <c r="BS337" s="6"/>
      <c r="BT337" s="201"/>
    </row>
    <row r="338" spans="30:72" ht="12.75">
      <c r="AD338" s="6"/>
      <c r="AH338" s="6"/>
      <c r="AI338" s="6"/>
      <c r="AK338" s="61"/>
      <c r="AL338" s="6"/>
      <c r="AM338" s="6"/>
      <c r="AN338" s="13"/>
      <c r="AO338" s="13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174"/>
      <c r="BM338" s="174"/>
      <c r="BN338" s="174"/>
      <c r="BO338" s="174"/>
      <c r="BP338" s="174"/>
      <c r="BS338" s="6"/>
      <c r="BT338" s="201"/>
    </row>
    <row r="339" spans="30:72" ht="12.75">
      <c r="AD339" s="6"/>
      <c r="AH339" s="6"/>
      <c r="AI339" s="6"/>
      <c r="AK339" s="61"/>
      <c r="AL339" s="6"/>
      <c r="AM339" s="6"/>
      <c r="AN339" s="13"/>
      <c r="AO339" s="13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174"/>
      <c r="BM339" s="174"/>
      <c r="BN339" s="174"/>
      <c r="BO339" s="174"/>
      <c r="BP339" s="174"/>
      <c r="BS339" s="6"/>
      <c r="BT339" s="201"/>
    </row>
    <row r="340" spans="30:72" ht="12.75">
      <c r="AD340" s="6"/>
      <c r="AH340" s="6"/>
      <c r="AI340" s="6"/>
      <c r="AK340" s="61"/>
      <c r="AL340" s="6"/>
      <c r="AM340" s="6"/>
      <c r="AN340" s="13"/>
      <c r="AO340" s="13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174"/>
      <c r="BM340" s="174"/>
      <c r="BN340" s="174"/>
      <c r="BO340" s="174"/>
      <c r="BP340" s="174"/>
      <c r="BS340" s="6"/>
      <c r="BT340" s="201"/>
    </row>
    <row r="341" spans="30:72" ht="12.75">
      <c r="AD341" s="6"/>
      <c r="AH341" s="6"/>
      <c r="AI341" s="6"/>
      <c r="AK341" s="61"/>
      <c r="AL341" s="6"/>
      <c r="AM341" s="6"/>
      <c r="AN341" s="13"/>
      <c r="AO341" s="13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174"/>
      <c r="BM341" s="174"/>
      <c r="BN341" s="174"/>
      <c r="BO341" s="174"/>
      <c r="BP341" s="174"/>
      <c r="BS341" s="6"/>
      <c r="BT341" s="201"/>
    </row>
    <row r="342" spans="30:72" ht="12.75">
      <c r="AD342" s="6"/>
      <c r="AH342" s="6"/>
      <c r="AI342" s="6"/>
      <c r="AK342" s="61"/>
      <c r="AL342" s="6"/>
      <c r="AM342" s="6"/>
      <c r="AN342" s="13"/>
      <c r="AO342" s="13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174"/>
      <c r="BM342" s="174"/>
      <c r="BN342" s="174"/>
      <c r="BO342" s="174"/>
      <c r="BP342" s="174"/>
      <c r="BS342" s="6"/>
      <c r="BT342" s="201"/>
    </row>
    <row r="343" spans="30:72" ht="12.75">
      <c r="AD343" s="6"/>
      <c r="AH343" s="6"/>
      <c r="AI343" s="6"/>
      <c r="AK343" s="61"/>
      <c r="AL343" s="6"/>
      <c r="AM343" s="6"/>
      <c r="AN343" s="13"/>
      <c r="AO343" s="13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174"/>
      <c r="BM343" s="174"/>
      <c r="BN343" s="174"/>
      <c r="BO343" s="174"/>
      <c r="BP343" s="174"/>
      <c r="BS343" s="6"/>
      <c r="BT343" s="201"/>
    </row>
    <row r="344" spans="30:72" ht="12.75">
      <c r="AD344" s="6"/>
      <c r="AH344" s="6"/>
      <c r="AI344" s="6"/>
      <c r="AK344" s="61"/>
      <c r="AL344" s="6"/>
      <c r="AM344" s="6"/>
      <c r="AN344" s="13"/>
      <c r="AO344" s="13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174"/>
      <c r="BM344" s="174"/>
      <c r="BN344" s="174"/>
      <c r="BO344" s="174"/>
      <c r="BP344" s="174"/>
      <c r="BS344" s="6"/>
      <c r="BT344" s="201"/>
    </row>
    <row r="345" spans="30:72" ht="12.75">
      <c r="AD345" s="6"/>
      <c r="AH345" s="6"/>
      <c r="AI345" s="6"/>
      <c r="AK345" s="61"/>
      <c r="AL345" s="6"/>
      <c r="AM345" s="6"/>
      <c r="AN345" s="13"/>
      <c r="AO345" s="13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174"/>
      <c r="BM345" s="174"/>
      <c r="BN345" s="174"/>
      <c r="BO345" s="174"/>
      <c r="BP345" s="174"/>
      <c r="BS345" s="6"/>
      <c r="BT345" s="201"/>
    </row>
    <row r="346" spans="30:72" ht="12.75">
      <c r="AD346" s="6"/>
      <c r="AH346" s="6"/>
      <c r="AI346" s="6"/>
      <c r="AK346" s="61"/>
      <c r="AL346" s="6"/>
      <c r="AM346" s="6"/>
      <c r="AN346" s="13"/>
      <c r="AO346" s="13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174"/>
      <c r="BM346" s="174"/>
      <c r="BN346" s="174"/>
      <c r="BO346" s="174"/>
      <c r="BP346" s="174"/>
      <c r="BS346" s="6"/>
      <c r="BT346" s="201"/>
    </row>
    <row r="347" spans="30:72" ht="12.75">
      <c r="AD347" s="6"/>
      <c r="AH347" s="6"/>
      <c r="AI347" s="6"/>
      <c r="AK347" s="61"/>
      <c r="AL347" s="6"/>
      <c r="AM347" s="6"/>
      <c r="AN347" s="13"/>
      <c r="AO347" s="13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174"/>
      <c r="BM347" s="174"/>
      <c r="BN347" s="174"/>
      <c r="BO347" s="174"/>
      <c r="BP347" s="174"/>
      <c r="BS347" s="6"/>
      <c r="BT347" s="201"/>
    </row>
    <row r="348" spans="30:72" ht="12.75">
      <c r="AD348" s="6"/>
      <c r="AH348" s="6"/>
      <c r="AI348" s="6"/>
      <c r="AK348" s="61"/>
      <c r="AL348" s="6"/>
      <c r="AM348" s="6"/>
      <c r="AN348" s="13"/>
      <c r="AO348" s="13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174"/>
      <c r="BM348" s="174"/>
      <c r="BN348" s="174"/>
      <c r="BO348" s="174"/>
      <c r="BP348" s="174"/>
      <c r="BS348" s="6"/>
      <c r="BT348" s="201"/>
    </row>
    <row r="349" spans="30:72" ht="12.75">
      <c r="AD349" s="6"/>
      <c r="AH349" s="6"/>
      <c r="AI349" s="6"/>
      <c r="AK349" s="61"/>
      <c r="AL349" s="6"/>
      <c r="AM349" s="6"/>
      <c r="AN349" s="13"/>
      <c r="AO349" s="13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174"/>
      <c r="BM349" s="174"/>
      <c r="BN349" s="174"/>
      <c r="BO349" s="174"/>
      <c r="BP349" s="174"/>
      <c r="BS349" s="6"/>
      <c r="BT349" s="201"/>
    </row>
    <row r="350" spans="30:72" ht="12.75">
      <c r="AD350" s="6"/>
      <c r="AH350" s="6"/>
      <c r="AI350" s="6"/>
      <c r="AK350" s="61"/>
      <c r="AL350" s="6"/>
      <c r="AM350" s="6"/>
      <c r="AN350" s="13"/>
      <c r="AO350" s="13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174"/>
      <c r="BM350" s="174"/>
      <c r="BN350" s="174"/>
      <c r="BO350" s="174"/>
      <c r="BP350" s="174"/>
      <c r="BS350" s="6"/>
      <c r="BT350" s="201"/>
    </row>
    <row r="351" spans="30:72" ht="12.75">
      <c r="AD351" s="6"/>
      <c r="AH351" s="6"/>
      <c r="AI351" s="6"/>
      <c r="AK351" s="61"/>
      <c r="AL351" s="6"/>
      <c r="AM351" s="6"/>
      <c r="AN351" s="13"/>
      <c r="AO351" s="13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174"/>
      <c r="BM351" s="174"/>
      <c r="BN351" s="174"/>
      <c r="BO351" s="174"/>
      <c r="BP351" s="174"/>
      <c r="BS351" s="6"/>
      <c r="BT351" s="201"/>
    </row>
    <row r="352" spans="30:72" ht="12.75">
      <c r="AD352" s="6"/>
      <c r="AH352" s="6"/>
      <c r="AI352" s="6"/>
      <c r="AK352" s="61"/>
      <c r="AL352" s="6"/>
      <c r="AM352" s="6"/>
      <c r="AN352" s="13"/>
      <c r="AO352" s="13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174"/>
      <c r="BM352" s="174"/>
      <c r="BN352" s="174"/>
      <c r="BO352" s="174"/>
      <c r="BP352" s="174"/>
      <c r="BS352" s="6"/>
      <c r="BT352" s="201"/>
    </row>
    <row r="353" spans="30:72" ht="12.75">
      <c r="AD353" s="6"/>
      <c r="AH353" s="6"/>
      <c r="AI353" s="6"/>
      <c r="AK353" s="61"/>
      <c r="AL353" s="6"/>
      <c r="AM353" s="6"/>
      <c r="AN353" s="13"/>
      <c r="AO353" s="13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174"/>
      <c r="BM353" s="174"/>
      <c r="BN353" s="174"/>
      <c r="BO353" s="174"/>
      <c r="BP353" s="174"/>
      <c r="BS353" s="6"/>
      <c r="BT353" s="201"/>
    </row>
    <row r="354" spans="30:72" ht="12.75">
      <c r="AD354" s="6"/>
      <c r="AH354" s="6"/>
      <c r="AI354" s="6"/>
      <c r="AK354" s="61"/>
      <c r="AL354" s="6"/>
      <c r="AM354" s="6"/>
      <c r="AN354" s="13"/>
      <c r="AO354" s="13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174"/>
      <c r="BM354" s="174"/>
      <c r="BN354" s="174"/>
      <c r="BO354" s="174"/>
      <c r="BP354" s="174"/>
      <c r="BS354" s="6"/>
      <c r="BT354" s="201"/>
    </row>
    <row r="355" spans="30:72" ht="12.75">
      <c r="AD355" s="6"/>
      <c r="AH355" s="6"/>
      <c r="AI355" s="6"/>
      <c r="AK355" s="61"/>
      <c r="AL355" s="6"/>
      <c r="AM355" s="6"/>
      <c r="AN355" s="13"/>
      <c r="AO355" s="13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174"/>
      <c r="BM355" s="174"/>
      <c r="BN355" s="174"/>
      <c r="BO355" s="174"/>
      <c r="BP355" s="174"/>
      <c r="BS355" s="6"/>
      <c r="BT355" s="201"/>
    </row>
    <row r="356" spans="30:72" ht="12.75">
      <c r="AD356" s="6"/>
      <c r="AH356" s="6"/>
      <c r="AI356" s="6"/>
      <c r="AK356" s="61"/>
      <c r="AL356" s="6"/>
      <c r="AM356" s="6"/>
      <c r="AN356" s="13"/>
      <c r="AO356" s="13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174"/>
      <c r="BM356" s="174"/>
      <c r="BN356" s="174"/>
      <c r="BO356" s="174"/>
      <c r="BP356" s="174"/>
      <c r="BS356" s="6"/>
      <c r="BT356" s="201"/>
    </row>
    <row r="357" spans="30:72" ht="12.75">
      <c r="AD357" s="6"/>
      <c r="AH357" s="6"/>
      <c r="AI357" s="6"/>
      <c r="AK357" s="61"/>
      <c r="AL357" s="6"/>
      <c r="AM357" s="6"/>
      <c r="AN357" s="13"/>
      <c r="AO357" s="13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174"/>
      <c r="BM357" s="174"/>
      <c r="BN357" s="174"/>
      <c r="BO357" s="174"/>
      <c r="BP357" s="174"/>
      <c r="BS357" s="6"/>
      <c r="BT357" s="201"/>
    </row>
    <row r="358" spans="30:72" ht="12.75">
      <c r="AD358" s="6"/>
      <c r="AH358" s="6"/>
      <c r="AI358" s="6"/>
      <c r="AK358" s="61"/>
      <c r="AL358" s="6"/>
      <c r="AM358" s="6"/>
      <c r="AN358" s="13"/>
      <c r="AO358" s="13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174"/>
      <c r="BM358" s="174"/>
      <c r="BN358" s="174"/>
      <c r="BO358" s="174"/>
      <c r="BP358" s="174"/>
      <c r="BS358" s="6"/>
      <c r="BT358" s="201"/>
    </row>
    <row r="359" spans="30:72" ht="12.75">
      <c r="AD359" s="6"/>
      <c r="AH359" s="6"/>
      <c r="AI359" s="6"/>
      <c r="AK359" s="61"/>
      <c r="AL359" s="6"/>
      <c r="AM359" s="6"/>
      <c r="AN359" s="13"/>
      <c r="AO359" s="13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174"/>
      <c r="BM359" s="174"/>
      <c r="BN359" s="174"/>
      <c r="BO359" s="174"/>
      <c r="BP359" s="174"/>
      <c r="BS359" s="6"/>
      <c r="BT359" s="201"/>
    </row>
    <row r="360" spans="30:72" ht="12.75">
      <c r="AD360" s="6"/>
      <c r="AH360" s="6"/>
      <c r="AI360" s="6"/>
      <c r="AK360" s="61"/>
      <c r="AL360" s="6"/>
      <c r="AM360" s="6"/>
      <c r="AN360" s="13"/>
      <c r="AO360" s="13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174"/>
      <c r="BM360" s="174"/>
      <c r="BN360" s="174"/>
      <c r="BO360" s="174"/>
      <c r="BP360" s="174"/>
      <c r="BS360" s="6"/>
      <c r="BT360" s="201"/>
    </row>
    <row r="361" spans="30:72" ht="12.75">
      <c r="AD361" s="6"/>
      <c r="AH361" s="6"/>
      <c r="AI361" s="6"/>
      <c r="AK361" s="61"/>
      <c r="AL361" s="6"/>
      <c r="AM361" s="6"/>
      <c r="AN361" s="13"/>
      <c r="AO361" s="13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174"/>
      <c r="BM361" s="174"/>
      <c r="BN361" s="174"/>
      <c r="BO361" s="174"/>
      <c r="BP361" s="174"/>
      <c r="BS361" s="6"/>
      <c r="BT361" s="201"/>
    </row>
    <row r="362" spans="30:72" ht="12.75">
      <c r="AD362" s="6"/>
      <c r="AH362" s="6"/>
      <c r="AI362" s="6"/>
      <c r="AK362" s="61"/>
      <c r="AL362" s="6"/>
      <c r="AM362" s="6"/>
      <c r="AN362" s="13"/>
      <c r="AO362" s="13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174"/>
      <c r="BM362" s="174"/>
      <c r="BN362" s="174"/>
      <c r="BO362" s="174"/>
      <c r="BP362" s="174"/>
      <c r="BS362" s="6"/>
      <c r="BT362" s="201"/>
    </row>
    <row r="363" spans="30:72" ht="12.75">
      <c r="AD363" s="6"/>
      <c r="AH363" s="6"/>
      <c r="AI363" s="6"/>
      <c r="AK363" s="61"/>
      <c r="AL363" s="6"/>
      <c r="AM363" s="6"/>
      <c r="AN363" s="13"/>
      <c r="AO363" s="13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174"/>
      <c r="BM363" s="174"/>
      <c r="BN363" s="174"/>
      <c r="BO363" s="174"/>
      <c r="BP363" s="174"/>
      <c r="BS363" s="6"/>
      <c r="BT363" s="201"/>
    </row>
    <row r="364" spans="30:72" ht="12.75">
      <c r="AD364" s="6"/>
      <c r="AH364" s="6"/>
      <c r="AI364" s="6"/>
      <c r="AK364" s="61"/>
      <c r="AL364" s="6"/>
      <c r="AM364" s="6"/>
      <c r="AN364" s="13"/>
      <c r="AO364" s="13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174"/>
      <c r="BM364" s="174"/>
      <c r="BN364" s="174"/>
      <c r="BO364" s="174"/>
      <c r="BP364" s="174"/>
      <c r="BS364" s="6"/>
      <c r="BT364" s="201"/>
    </row>
    <row r="365" spans="30:72" ht="12.75">
      <c r="AD365" s="6"/>
      <c r="AH365" s="6"/>
      <c r="AI365" s="6"/>
      <c r="AK365" s="61"/>
      <c r="AL365" s="6"/>
      <c r="AM365" s="6"/>
      <c r="AN365" s="13"/>
      <c r="AO365" s="13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174"/>
      <c r="BM365" s="174"/>
      <c r="BN365" s="174"/>
      <c r="BO365" s="174"/>
      <c r="BP365" s="174"/>
      <c r="BS365" s="6"/>
      <c r="BT365" s="201"/>
    </row>
    <row r="366" spans="30:72" ht="12.75">
      <c r="AD366" s="6"/>
      <c r="AH366" s="6"/>
      <c r="AI366" s="6"/>
      <c r="AK366" s="61"/>
      <c r="AL366" s="6"/>
      <c r="AM366" s="6"/>
      <c r="AN366" s="13"/>
      <c r="AO366" s="13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174"/>
      <c r="BM366" s="174"/>
      <c r="BN366" s="174"/>
      <c r="BO366" s="174"/>
      <c r="BP366" s="174"/>
      <c r="BS366" s="6"/>
      <c r="BT366" s="201"/>
    </row>
    <row r="367" spans="30:72" ht="12.75">
      <c r="AD367" s="6"/>
      <c r="AH367" s="6"/>
      <c r="AI367" s="6"/>
      <c r="AK367" s="61"/>
      <c r="AL367" s="6"/>
      <c r="AM367" s="6"/>
      <c r="AN367" s="13"/>
      <c r="AO367" s="13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174"/>
      <c r="BM367" s="174"/>
      <c r="BN367" s="174"/>
      <c r="BO367" s="174"/>
      <c r="BP367" s="174"/>
      <c r="BS367" s="6"/>
      <c r="BT367" s="201"/>
    </row>
    <row r="368" spans="30:72" ht="12.75">
      <c r="AD368" s="6"/>
      <c r="AH368" s="6"/>
      <c r="AI368" s="6"/>
      <c r="AK368" s="61"/>
      <c r="AL368" s="6"/>
      <c r="AM368" s="6"/>
      <c r="AN368" s="13"/>
      <c r="AO368" s="13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174"/>
      <c r="BM368" s="174"/>
      <c r="BN368" s="174"/>
      <c r="BO368" s="174"/>
      <c r="BP368" s="174"/>
      <c r="BS368" s="6"/>
      <c r="BT368" s="201"/>
    </row>
    <row r="369" spans="30:72" ht="12.75">
      <c r="AD369" s="6"/>
      <c r="AH369" s="6"/>
      <c r="AI369" s="6"/>
      <c r="AK369" s="61"/>
      <c r="AL369" s="6"/>
      <c r="AM369" s="6"/>
      <c r="AN369" s="13"/>
      <c r="AO369" s="13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174"/>
      <c r="BM369" s="174"/>
      <c r="BN369" s="174"/>
      <c r="BO369" s="174"/>
      <c r="BP369" s="174"/>
      <c r="BS369" s="6"/>
      <c r="BT369" s="201"/>
    </row>
    <row r="370" spans="30:72" ht="12.75">
      <c r="AD370" s="6"/>
      <c r="AH370" s="6"/>
      <c r="AI370" s="6"/>
      <c r="AK370" s="61"/>
      <c r="AL370" s="6"/>
      <c r="AM370" s="6"/>
      <c r="AN370" s="13"/>
      <c r="AO370" s="13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174"/>
      <c r="BM370" s="174"/>
      <c r="BN370" s="174"/>
      <c r="BO370" s="174"/>
      <c r="BP370" s="174"/>
      <c r="BS370" s="6"/>
      <c r="BT370" s="201"/>
    </row>
    <row r="371" spans="30:72" ht="12.75">
      <c r="AD371" s="6"/>
      <c r="AH371" s="6"/>
      <c r="AI371" s="6"/>
      <c r="AK371" s="61"/>
      <c r="AL371" s="6"/>
      <c r="AM371" s="6"/>
      <c r="AN371" s="13"/>
      <c r="AO371" s="13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174"/>
      <c r="BM371" s="174"/>
      <c r="BN371" s="174"/>
      <c r="BO371" s="174"/>
      <c r="BP371" s="174"/>
      <c r="BS371" s="6"/>
      <c r="BT371" s="201"/>
    </row>
    <row r="372" spans="30:72" ht="12.75">
      <c r="AD372" s="6"/>
      <c r="AH372" s="6"/>
      <c r="AI372" s="6"/>
      <c r="AK372" s="61"/>
      <c r="AL372" s="6"/>
      <c r="AM372" s="6"/>
      <c r="AN372" s="13"/>
      <c r="AO372" s="13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174"/>
      <c r="BM372" s="174"/>
      <c r="BN372" s="174"/>
      <c r="BO372" s="174"/>
      <c r="BP372" s="174"/>
      <c r="BS372" s="6"/>
      <c r="BT372" s="201"/>
    </row>
    <row r="373" spans="30:72" ht="12.75">
      <c r="AD373" s="6"/>
      <c r="AH373" s="6"/>
      <c r="AI373" s="6"/>
      <c r="AK373" s="61"/>
      <c r="AL373" s="6"/>
      <c r="AM373" s="6"/>
      <c r="AN373" s="13"/>
      <c r="AO373" s="13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174"/>
      <c r="BM373" s="174"/>
      <c r="BN373" s="174"/>
      <c r="BO373" s="174"/>
      <c r="BP373" s="174"/>
      <c r="BS373" s="6"/>
      <c r="BT373" s="201"/>
    </row>
    <row r="374" spans="30:72" ht="12.75">
      <c r="AD374" s="6"/>
      <c r="AH374" s="6"/>
      <c r="AI374" s="6"/>
      <c r="AK374" s="61"/>
      <c r="AL374" s="6"/>
      <c r="AM374" s="6"/>
      <c r="AN374" s="13"/>
      <c r="AO374" s="13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174"/>
      <c r="BM374" s="174"/>
      <c r="BN374" s="174"/>
      <c r="BO374" s="174"/>
      <c r="BP374" s="174"/>
      <c r="BS374" s="6"/>
      <c r="BT374" s="201"/>
    </row>
    <row r="375" spans="30:37" ht="12.75">
      <c r="AD375" s="6"/>
      <c r="AH375" s="6"/>
      <c r="AI375" s="6"/>
      <c r="AK375" s="61"/>
    </row>
    <row r="376" spans="30:37" ht="12.75">
      <c r="AD376" s="6"/>
      <c r="AH376" s="6"/>
      <c r="AI376" s="6"/>
      <c r="AK376" s="61"/>
    </row>
    <row r="377" spans="30:37" ht="12.75">
      <c r="AD377" s="6"/>
      <c r="AH377" s="6"/>
      <c r="AI377" s="6"/>
      <c r="AK377" s="61"/>
    </row>
    <row r="378" spans="30:37" ht="12.75">
      <c r="AD378" s="6"/>
      <c r="AH378" s="6"/>
      <c r="AI378" s="6"/>
      <c r="AK378" s="61"/>
    </row>
    <row r="379" spans="30:37" ht="12.75">
      <c r="AD379" s="6"/>
      <c r="AH379" s="6"/>
      <c r="AI379" s="6"/>
      <c r="AK379" s="61"/>
    </row>
    <row r="380" spans="30:37" ht="12.75">
      <c r="AD380" s="6"/>
      <c r="AH380" s="6"/>
      <c r="AI380" s="6"/>
      <c r="AK380" s="61"/>
    </row>
    <row r="381" spans="30:37" ht="12.75">
      <c r="AD381" s="6"/>
      <c r="AH381" s="6"/>
      <c r="AI381" s="6"/>
      <c r="AK381" s="61"/>
    </row>
    <row r="382" spans="30:37" ht="12.75">
      <c r="AD382" s="6"/>
      <c r="AH382" s="6"/>
      <c r="AI382" s="6"/>
      <c r="AK382" s="61"/>
    </row>
    <row r="383" spans="30:37" ht="12.75">
      <c r="AD383" s="6"/>
      <c r="AH383" s="6"/>
      <c r="AI383" s="6"/>
      <c r="AK383" s="61"/>
    </row>
    <row r="384" spans="30:37" ht="12.75">
      <c r="AD384" s="6"/>
      <c r="AH384" s="6"/>
      <c r="AI384" s="6"/>
      <c r="AK384" s="61"/>
    </row>
    <row r="385" spans="30:37" ht="12.75">
      <c r="AD385" s="6"/>
      <c r="AH385" s="6"/>
      <c r="AI385" s="6"/>
      <c r="AK385" s="61"/>
    </row>
    <row r="386" spans="30:37" ht="12.75">
      <c r="AD386" s="6"/>
      <c r="AH386" s="6"/>
      <c r="AI386" s="6"/>
      <c r="AK386" s="61"/>
    </row>
    <row r="387" spans="30:37" ht="12.75">
      <c r="AD387" s="6"/>
      <c r="AH387" s="6"/>
      <c r="AI387" s="6"/>
      <c r="AK387" s="61"/>
    </row>
    <row r="388" spans="30:37" ht="12.75">
      <c r="AD388" s="6"/>
      <c r="AH388" s="6"/>
      <c r="AI388" s="6"/>
      <c r="AK388" s="61"/>
    </row>
    <row r="389" spans="30:37" ht="12.75">
      <c r="AD389" s="6"/>
      <c r="AH389" s="6"/>
      <c r="AI389" s="6"/>
      <c r="AK389" s="61"/>
    </row>
    <row r="390" spans="30:37" ht="12.75">
      <c r="AD390" s="6"/>
      <c r="AH390" s="6"/>
      <c r="AI390" s="6"/>
      <c r="AK390" s="61"/>
    </row>
    <row r="391" spans="30:37" ht="12.75">
      <c r="AD391" s="6"/>
      <c r="AH391" s="6"/>
      <c r="AI391" s="6"/>
      <c r="AK391" s="61"/>
    </row>
    <row r="392" spans="30:37" ht="12.75">
      <c r="AD392" s="6"/>
      <c r="AH392" s="6"/>
      <c r="AI392" s="6"/>
      <c r="AK392" s="61"/>
    </row>
    <row r="393" spans="30:37" ht="12.75">
      <c r="AD393" s="6"/>
      <c r="AH393" s="6"/>
      <c r="AI393" s="6"/>
      <c r="AK393" s="61"/>
    </row>
    <row r="394" spans="30:37" ht="12.75">
      <c r="AD394" s="6"/>
      <c r="AH394" s="6"/>
      <c r="AI394" s="6"/>
      <c r="AK394" s="61"/>
    </row>
    <row r="395" spans="30:37" ht="12.75">
      <c r="AD395" s="6"/>
      <c r="AH395" s="6"/>
      <c r="AI395" s="6"/>
      <c r="AK395" s="61"/>
    </row>
    <row r="396" spans="30:37" ht="12.75">
      <c r="AD396" s="6"/>
      <c r="AH396" s="6"/>
      <c r="AI396" s="6"/>
      <c r="AK396" s="61"/>
    </row>
    <row r="397" spans="30:37" ht="12.75">
      <c r="AD397" s="6"/>
      <c r="AH397" s="6"/>
      <c r="AI397" s="6"/>
      <c r="AK397" s="61"/>
    </row>
    <row r="398" spans="30:37" ht="12.75">
      <c r="AD398" s="6"/>
      <c r="AH398" s="6"/>
      <c r="AI398" s="6"/>
      <c r="AK398" s="61"/>
    </row>
    <row r="399" spans="30:37" ht="12.75">
      <c r="AD399" s="6"/>
      <c r="AH399" s="6"/>
      <c r="AI399" s="6"/>
      <c r="AK399" s="61"/>
    </row>
    <row r="400" spans="30:37" ht="12.75">
      <c r="AD400" s="6"/>
      <c r="AH400" s="6"/>
      <c r="AI400" s="6"/>
      <c r="AK400" s="61"/>
    </row>
    <row r="401" spans="30:37" ht="12.75">
      <c r="AD401" s="6"/>
      <c r="AH401" s="6"/>
      <c r="AI401" s="6"/>
      <c r="AK401" s="61"/>
    </row>
    <row r="402" spans="30:37" ht="12.75">
      <c r="AD402" s="6"/>
      <c r="AH402" s="6"/>
      <c r="AI402" s="6"/>
      <c r="AK402" s="61"/>
    </row>
    <row r="403" spans="30:37" ht="12.75">
      <c r="AD403" s="6"/>
      <c r="AH403" s="6"/>
      <c r="AI403" s="6"/>
      <c r="AK403" s="61"/>
    </row>
    <row r="404" spans="30:37" ht="12.75">
      <c r="AD404" s="6"/>
      <c r="AH404" s="6"/>
      <c r="AI404" s="6"/>
      <c r="AK404" s="61"/>
    </row>
    <row r="405" spans="30:37" ht="12.75">
      <c r="AD405" s="6"/>
      <c r="AH405" s="6"/>
      <c r="AI405" s="6"/>
      <c r="AK405" s="61"/>
    </row>
    <row r="406" spans="30:37" ht="12.75">
      <c r="AD406" s="6"/>
      <c r="AH406" s="6"/>
      <c r="AI406" s="6"/>
      <c r="AK406" s="61"/>
    </row>
    <row r="407" spans="30:37" ht="12.75">
      <c r="AD407" s="6"/>
      <c r="AH407" s="6"/>
      <c r="AI407" s="6"/>
      <c r="AK407" s="61"/>
    </row>
    <row r="408" spans="30:37" ht="12.75">
      <c r="AD408" s="6"/>
      <c r="AH408" s="6"/>
      <c r="AI408" s="6"/>
      <c r="AK408" s="61"/>
    </row>
    <row r="409" spans="30:37" ht="12.75">
      <c r="AD409" s="6"/>
      <c r="AH409" s="6"/>
      <c r="AI409" s="6"/>
      <c r="AK409" s="61"/>
    </row>
    <row r="410" spans="30:37" ht="12.75">
      <c r="AD410" s="6"/>
      <c r="AH410" s="6"/>
      <c r="AI410" s="6"/>
      <c r="AK410" s="61"/>
    </row>
    <row r="411" spans="30:37" ht="12.75">
      <c r="AD411" s="6"/>
      <c r="AH411" s="6"/>
      <c r="AI411" s="6"/>
      <c r="AK411" s="61"/>
    </row>
    <row r="412" spans="30:37" ht="12.75">
      <c r="AD412" s="6"/>
      <c r="AH412" s="6"/>
      <c r="AI412" s="6"/>
      <c r="AK412" s="61"/>
    </row>
    <row r="413" spans="30:37" ht="12.75">
      <c r="AD413" s="6"/>
      <c r="AH413" s="6"/>
      <c r="AI413" s="6"/>
      <c r="AK413" s="61"/>
    </row>
    <row r="414" spans="30:37" ht="12.75">
      <c r="AD414" s="6"/>
      <c r="AH414" s="6"/>
      <c r="AI414" s="6"/>
      <c r="AK414" s="61"/>
    </row>
    <row r="415" spans="30:37" ht="12.75">
      <c r="AD415" s="6"/>
      <c r="AH415" s="6"/>
      <c r="AI415" s="6"/>
      <c r="AK415" s="61"/>
    </row>
    <row r="416" spans="30:37" ht="12.75">
      <c r="AD416" s="6"/>
      <c r="AH416" s="6"/>
      <c r="AI416" s="6"/>
      <c r="AK416" s="61"/>
    </row>
    <row r="417" spans="30:37" ht="12.75">
      <c r="AD417" s="6"/>
      <c r="AH417" s="6"/>
      <c r="AI417" s="6"/>
      <c r="AK417" s="61"/>
    </row>
    <row r="418" spans="30:37" ht="12.75">
      <c r="AD418" s="6"/>
      <c r="AH418" s="6"/>
      <c r="AI418" s="6"/>
      <c r="AK418" s="61"/>
    </row>
    <row r="419" spans="30:37" ht="12.75">
      <c r="AD419" s="6"/>
      <c r="AH419" s="6"/>
      <c r="AI419" s="6"/>
      <c r="AK419" s="61"/>
    </row>
    <row r="420" spans="30:37" ht="12.75">
      <c r="AD420" s="6"/>
      <c r="AH420" s="6"/>
      <c r="AI420" s="6"/>
      <c r="AK420" s="61"/>
    </row>
    <row r="421" spans="30:37" ht="12.75">
      <c r="AD421" s="6"/>
      <c r="AH421" s="6"/>
      <c r="AI421" s="6"/>
      <c r="AK421" s="61"/>
    </row>
    <row r="422" spans="30:37" ht="12.75">
      <c r="AD422" s="6"/>
      <c r="AH422" s="6"/>
      <c r="AI422" s="6"/>
      <c r="AK422" s="61"/>
    </row>
    <row r="423" spans="30:37" ht="12.75">
      <c r="AD423" s="6"/>
      <c r="AH423" s="6"/>
      <c r="AI423" s="6"/>
      <c r="AK423" s="61"/>
    </row>
    <row r="424" spans="30:37" ht="12.75">
      <c r="AD424" s="6"/>
      <c r="AH424" s="6"/>
      <c r="AI424" s="6"/>
      <c r="AK424" s="61"/>
    </row>
    <row r="425" spans="30:37" ht="12.75">
      <c r="AD425" s="6"/>
      <c r="AH425" s="6"/>
      <c r="AI425" s="6"/>
      <c r="AK425" s="61"/>
    </row>
    <row r="426" spans="30:37" ht="12.75">
      <c r="AD426" s="6"/>
      <c r="AH426" s="6"/>
      <c r="AI426" s="6"/>
      <c r="AK426" s="61"/>
    </row>
    <row r="427" spans="30:37" ht="12.75">
      <c r="AD427" s="6"/>
      <c r="AH427" s="6"/>
      <c r="AI427" s="6"/>
      <c r="AK427" s="61"/>
    </row>
    <row r="428" spans="30:37" ht="12.75">
      <c r="AD428" s="6"/>
      <c r="AH428" s="6"/>
      <c r="AI428" s="6"/>
      <c r="AK428" s="61"/>
    </row>
    <row r="429" spans="30:37" ht="12.75">
      <c r="AD429" s="6"/>
      <c r="AH429" s="6"/>
      <c r="AI429" s="6"/>
      <c r="AK429" s="61"/>
    </row>
    <row r="430" spans="30:37" ht="12.75">
      <c r="AD430" s="6"/>
      <c r="AH430" s="6"/>
      <c r="AI430" s="6"/>
      <c r="AK430" s="61"/>
    </row>
    <row r="431" spans="30:35" ht="12.75">
      <c r="AD431" s="6"/>
      <c r="AH431" s="6"/>
      <c r="AI431" s="6"/>
    </row>
    <row r="432" spans="30:35" ht="12.75">
      <c r="AD432" s="6"/>
      <c r="AH432" s="6"/>
      <c r="AI432" s="6"/>
    </row>
    <row r="433" spans="30:35" ht="12.75">
      <c r="AD433" s="6"/>
      <c r="AH433" s="6"/>
      <c r="AI433" s="6"/>
    </row>
    <row r="434" spans="30:35" ht="12.75">
      <c r="AD434" s="6"/>
      <c r="AH434" s="6"/>
      <c r="AI434" s="6"/>
    </row>
    <row r="435" spans="30:35" ht="12.75">
      <c r="AD435" s="6"/>
      <c r="AH435" s="6"/>
      <c r="AI435" s="6"/>
    </row>
    <row r="436" spans="30:35" ht="12.75">
      <c r="AD436" s="6"/>
      <c r="AH436" s="6"/>
      <c r="AI436" s="6"/>
    </row>
    <row r="437" spans="30:35" ht="12.75">
      <c r="AD437" s="6"/>
      <c r="AH437" s="6"/>
      <c r="AI437" s="6"/>
    </row>
    <row r="438" spans="30:35" ht="12.75">
      <c r="AD438" s="6"/>
      <c r="AH438" s="6"/>
      <c r="AI438" s="6"/>
    </row>
    <row r="439" spans="30:35" ht="12.75">
      <c r="AD439" s="6"/>
      <c r="AH439" s="6"/>
      <c r="AI439" s="6"/>
    </row>
    <row r="440" spans="30:35" ht="12.75">
      <c r="AD440" s="6"/>
      <c r="AH440" s="6"/>
      <c r="AI440" s="6"/>
    </row>
    <row r="441" spans="30:35" ht="12.75">
      <c r="AD441" s="6"/>
      <c r="AH441" s="6"/>
      <c r="AI441" s="6"/>
    </row>
    <row r="442" spans="30:35" ht="12.75">
      <c r="AD442" s="6"/>
      <c r="AH442" s="6"/>
      <c r="AI442" s="6"/>
    </row>
    <row r="443" spans="30:35" ht="12.75">
      <c r="AD443" s="6"/>
      <c r="AH443" s="6"/>
      <c r="AI443" s="6"/>
    </row>
    <row r="444" spans="30:35" ht="12.75">
      <c r="AD444" s="6"/>
      <c r="AH444" s="6"/>
      <c r="AI444" s="6"/>
    </row>
    <row r="445" spans="30:35" ht="12.75">
      <c r="AD445" s="6"/>
      <c r="AH445" s="6"/>
      <c r="AI445" s="6"/>
    </row>
    <row r="446" spans="30:35" ht="12.75">
      <c r="AD446" s="6"/>
      <c r="AH446" s="6"/>
      <c r="AI446" s="6"/>
    </row>
    <row r="447" spans="30:35" ht="12.75">
      <c r="AD447" s="6"/>
      <c r="AH447" s="6"/>
      <c r="AI447" s="6"/>
    </row>
    <row r="448" spans="30:35" ht="12.75">
      <c r="AD448" s="6"/>
      <c r="AH448" s="6"/>
      <c r="AI448" s="6"/>
    </row>
    <row r="449" spans="30:35" ht="12.75">
      <c r="AD449" s="6"/>
      <c r="AH449" s="6"/>
      <c r="AI449" s="6"/>
    </row>
    <row r="450" spans="30:35" ht="12.75">
      <c r="AD450" s="6"/>
      <c r="AH450" s="6"/>
      <c r="AI450" s="6"/>
    </row>
    <row r="451" spans="30:35" ht="12.75">
      <c r="AD451" s="6"/>
      <c r="AH451" s="6"/>
      <c r="AI451" s="6"/>
    </row>
    <row r="452" spans="30:35" ht="12.75">
      <c r="AD452" s="6"/>
      <c r="AH452" s="6"/>
      <c r="AI452" s="6"/>
    </row>
    <row r="453" spans="30:35" ht="12.75">
      <c r="AD453" s="6"/>
      <c r="AH453" s="6"/>
      <c r="AI453" s="6"/>
    </row>
    <row r="454" spans="30:35" ht="12.75">
      <c r="AD454" s="6"/>
      <c r="AH454" s="6"/>
      <c r="AI454" s="6"/>
    </row>
    <row r="455" spans="30:35" ht="12.75">
      <c r="AD455" s="6"/>
      <c r="AH455" s="6"/>
      <c r="AI455" s="6"/>
    </row>
    <row r="456" spans="30:35" ht="12.75">
      <c r="AD456" s="6"/>
      <c r="AH456" s="6"/>
      <c r="AI456" s="6"/>
    </row>
    <row r="457" spans="30:35" ht="12.75">
      <c r="AD457" s="6"/>
      <c r="AH457" s="6"/>
      <c r="AI457" s="6"/>
    </row>
    <row r="458" spans="30:35" ht="12.75">
      <c r="AD458" s="6"/>
      <c r="AH458" s="6"/>
      <c r="AI458" s="6"/>
    </row>
    <row r="459" spans="30:35" ht="12.75">
      <c r="AD459" s="6"/>
      <c r="AH459" s="6"/>
      <c r="AI459" s="6"/>
    </row>
    <row r="460" spans="30:35" ht="12.75">
      <c r="AD460" s="6"/>
      <c r="AH460" s="6"/>
      <c r="AI460" s="6"/>
    </row>
    <row r="461" spans="30:35" ht="12.75">
      <c r="AD461" s="6"/>
      <c r="AH461" s="6"/>
      <c r="AI461" s="6"/>
    </row>
    <row r="462" spans="30:35" ht="12.75">
      <c r="AD462" s="6"/>
      <c r="AH462" s="6"/>
      <c r="AI462" s="6"/>
    </row>
    <row r="463" spans="30:35" ht="12.75">
      <c r="AD463" s="6"/>
      <c r="AH463" s="6"/>
      <c r="AI463" s="6"/>
    </row>
    <row r="464" spans="30:35" ht="12.75">
      <c r="AD464" s="6"/>
      <c r="AH464" s="6"/>
      <c r="AI464" s="6"/>
    </row>
    <row r="465" spans="30:35" ht="12.75">
      <c r="AD465" s="6"/>
      <c r="AH465" s="6"/>
      <c r="AI465" s="6"/>
    </row>
    <row r="466" spans="30:35" ht="12.75">
      <c r="AD466" s="6"/>
      <c r="AH466" s="6"/>
      <c r="AI466" s="6"/>
    </row>
    <row r="467" spans="30:35" ht="12.75">
      <c r="AD467" s="6"/>
      <c r="AH467" s="6"/>
      <c r="AI467" s="6"/>
    </row>
    <row r="468" spans="30:35" ht="12.75">
      <c r="AD468" s="6"/>
      <c r="AH468" s="6"/>
      <c r="AI468" s="6"/>
    </row>
    <row r="469" spans="30:35" ht="12.75">
      <c r="AD469" s="6"/>
      <c r="AH469" s="6"/>
      <c r="AI469" s="6"/>
    </row>
    <row r="470" spans="30:35" ht="12.75">
      <c r="AD470" s="6"/>
      <c r="AH470" s="6"/>
      <c r="AI470" s="6"/>
    </row>
    <row r="471" spans="30:35" ht="12.75">
      <c r="AD471" s="6"/>
      <c r="AH471" s="6"/>
      <c r="AI471" s="6"/>
    </row>
    <row r="472" spans="30:35" ht="12.75">
      <c r="AD472" s="6"/>
      <c r="AH472" s="6"/>
      <c r="AI472" s="6"/>
    </row>
    <row r="473" spans="30:35" ht="12.75">
      <c r="AD473" s="6"/>
      <c r="AH473" s="6"/>
      <c r="AI473" s="6"/>
    </row>
    <row r="474" spans="30:35" ht="12.75">
      <c r="AD474" s="6"/>
      <c r="AH474" s="6"/>
      <c r="AI474" s="6"/>
    </row>
    <row r="475" spans="30:35" ht="12.75">
      <c r="AD475" s="6"/>
      <c r="AH475" s="6"/>
      <c r="AI475" s="6"/>
    </row>
    <row r="476" spans="30:35" ht="12.75">
      <c r="AD476" s="6"/>
      <c r="AH476" s="6"/>
      <c r="AI476" s="6"/>
    </row>
    <row r="477" spans="30:35" ht="12.75">
      <c r="AD477" s="6"/>
      <c r="AH477" s="6"/>
      <c r="AI477" s="6"/>
    </row>
    <row r="478" spans="30:35" ht="12.75">
      <c r="AD478" s="6"/>
      <c r="AH478" s="6"/>
      <c r="AI478" s="6"/>
    </row>
    <row r="479" spans="30:35" ht="12.75">
      <c r="AD479" s="6"/>
      <c r="AH479" s="6"/>
      <c r="AI479" s="6"/>
    </row>
    <row r="480" spans="30:35" ht="12.75">
      <c r="AD480" s="6"/>
      <c r="AH480" s="6"/>
      <c r="AI480" s="6"/>
    </row>
    <row r="481" spans="30:35" ht="12.75">
      <c r="AD481" s="6"/>
      <c r="AH481" s="6"/>
      <c r="AI481" s="6"/>
    </row>
    <row r="482" spans="30:35" ht="12.75">
      <c r="AD482" s="6"/>
      <c r="AH482" s="6"/>
      <c r="AI482" s="6"/>
    </row>
    <row r="483" spans="30:35" ht="12.75">
      <c r="AD483" s="6"/>
      <c r="AH483" s="6"/>
      <c r="AI483" s="6"/>
    </row>
    <row r="484" spans="30:35" ht="12.75">
      <c r="AD484" s="6"/>
      <c r="AH484" s="6"/>
      <c r="AI484" s="6"/>
    </row>
    <row r="485" spans="30:35" ht="12.75">
      <c r="AD485" s="6"/>
      <c r="AH485" s="6"/>
      <c r="AI485" s="6"/>
    </row>
    <row r="486" spans="30:35" ht="12.75">
      <c r="AD486" s="6"/>
      <c r="AH486" s="6"/>
      <c r="AI486" s="6"/>
    </row>
    <row r="487" spans="30:35" ht="12.75">
      <c r="AD487" s="6"/>
      <c r="AH487" s="6"/>
      <c r="AI487" s="6"/>
    </row>
    <row r="488" spans="30:35" ht="12.75">
      <c r="AD488" s="6"/>
      <c r="AH488" s="6"/>
      <c r="AI488" s="6"/>
    </row>
    <row r="489" spans="30:35" ht="12.75">
      <c r="AD489" s="6"/>
      <c r="AH489" s="6"/>
      <c r="AI489" s="6"/>
    </row>
    <row r="490" spans="30:35" ht="12.75">
      <c r="AD490" s="6"/>
      <c r="AH490" s="6"/>
      <c r="AI490" s="6"/>
    </row>
    <row r="491" spans="30:35" ht="12.75">
      <c r="AD491" s="6"/>
      <c r="AH491" s="6"/>
      <c r="AI491" s="6"/>
    </row>
    <row r="492" spans="30:35" ht="12.75">
      <c r="AD492" s="6"/>
      <c r="AH492" s="6"/>
      <c r="AI492" s="6"/>
    </row>
    <row r="493" spans="30:35" ht="12.75">
      <c r="AD493" s="6"/>
      <c r="AH493" s="6"/>
      <c r="AI493" s="6"/>
    </row>
    <row r="494" spans="30:35" ht="12.75">
      <c r="AD494" s="6"/>
      <c r="AH494" s="6"/>
      <c r="AI494" s="6"/>
    </row>
    <row r="495" spans="30:35" ht="12.75">
      <c r="AD495" s="6"/>
      <c r="AH495" s="6"/>
      <c r="AI495" s="6"/>
    </row>
    <row r="496" spans="30:35" ht="12.75">
      <c r="AD496" s="6"/>
      <c r="AH496" s="6"/>
      <c r="AI496" s="6"/>
    </row>
    <row r="497" spans="30:35" ht="12.75">
      <c r="AD497" s="6"/>
      <c r="AH497" s="6"/>
      <c r="AI497" s="6"/>
    </row>
    <row r="498" spans="30:35" ht="12.75">
      <c r="AD498" s="6"/>
      <c r="AH498" s="6"/>
      <c r="AI498" s="6"/>
    </row>
    <row r="499" spans="30:35" ht="12.75">
      <c r="AD499" s="6"/>
      <c r="AH499" s="6"/>
      <c r="AI499" s="6"/>
    </row>
    <row r="500" spans="30:35" ht="12.75">
      <c r="AD500" s="6"/>
      <c r="AH500" s="6"/>
      <c r="AI500" s="6"/>
    </row>
    <row r="501" spans="30:35" ht="12.75">
      <c r="AD501" s="6"/>
      <c r="AH501" s="6"/>
      <c r="AI501" s="6"/>
    </row>
    <row r="502" spans="30:35" ht="12.75">
      <c r="AD502" s="6"/>
      <c r="AH502" s="6"/>
      <c r="AI502" s="6"/>
    </row>
    <row r="503" spans="30:35" ht="12.75">
      <c r="AD503" s="6"/>
      <c r="AH503" s="6"/>
      <c r="AI503" s="6"/>
    </row>
    <row r="504" spans="30:35" ht="12.75">
      <c r="AD504" s="6"/>
      <c r="AH504" s="6"/>
      <c r="AI504" s="6"/>
    </row>
    <row r="505" spans="30:35" ht="12.75">
      <c r="AD505" s="6"/>
      <c r="AH505" s="6"/>
      <c r="AI505" s="6"/>
    </row>
    <row r="506" spans="30:35" ht="12.75">
      <c r="AD506" s="6"/>
      <c r="AH506" s="6"/>
      <c r="AI506" s="6"/>
    </row>
    <row r="507" spans="30:35" ht="12.75">
      <c r="AD507" s="6"/>
      <c r="AH507" s="6"/>
      <c r="AI507" s="6"/>
    </row>
    <row r="508" spans="30:35" ht="12.75">
      <c r="AD508" s="6"/>
      <c r="AH508" s="6"/>
      <c r="AI508" s="6"/>
    </row>
    <row r="509" spans="30:35" ht="12.75">
      <c r="AD509" s="6"/>
      <c r="AH509" s="6"/>
      <c r="AI509" s="6"/>
    </row>
    <row r="510" spans="30:35" ht="12.75">
      <c r="AD510" s="6"/>
      <c r="AH510" s="6"/>
      <c r="AI510" s="6"/>
    </row>
    <row r="511" spans="30:35" ht="12.75">
      <c r="AD511" s="6"/>
      <c r="AH511" s="6"/>
      <c r="AI511" s="6"/>
    </row>
    <row r="512" spans="30:35" ht="12.75">
      <c r="AD512" s="6"/>
      <c r="AH512" s="6"/>
      <c r="AI512" s="6"/>
    </row>
    <row r="513" spans="30:35" ht="12.75">
      <c r="AD513" s="6"/>
      <c r="AH513" s="6"/>
      <c r="AI513" s="6"/>
    </row>
    <row r="514" spans="30:35" ht="12.75">
      <c r="AD514" s="6"/>
      <c r="AH514" s="6"/>
      <c r="AI514" s="6"/>
    </row>
    <row r="515" spans="30:35" ht="12.75">
      <c r="AD515" s="6"/>
      <c r="AH515" s="6"/>
      <c r="AI515" s="6"/>
    </row>
    <row r="516" spans="30:35" ht="12.75">
      <c r="AD516" s="6"/>
      <c r="AH516" s="6"/>
      <c r="AI516" s="6"/>
    </row>
    <row r="517" spans="30:35" ht="12.75">
      <c r="AD517" s="6"/>
      <c r="AH517" s="6"/>
      <c r="AI517" s="6"/>
    </row>
    <row r="518" spans="30:35" ht="12.75">
      <c r="AD518" s="6"/>
      <c r="AH518" s="6"/>
      <c r="AI518" s="6"/>
    </row>
    <row r="519" spans="30:35" ht="12.75">
      <c r="AD519" s="6"/>
      <c r="AH519" s="6"/>
      <c r="AI519" s="6"/>
    </row>
    <row r="520" spans="30:35" ht="12.75">
      <c r="AD520" s="6"/>
      <c r="AH520" s="6"/>
      <c r="AI520" s="6"/>
    </row>
    <row r="521" spans="30:35" ht="12.75">
      <c r="AD521" s="6"/>
      <c r="AH521" s="6"/>
      <c r="AI521" s="6"/>
    </row>
    <row r="522" spans="30:35" ht="12.75">
      <c r="AD522" s="6"/>
      <c r="AH522" s="6"/>
      <c r="AI522" s="6"/>
    </row>
    <row r="523" spans="30:35" ht="12.75">
      <c r="AD523" s="6"/>
      <c r="AH523" s="6"/>
      <c r="AI523" s="6"/>
    </row>
    <row r="524" spans="30:35" ht="12.75">
      <c r="AD524" s="6"/>
      <c r="AH524" s="6"/>
      <c r="AI524" s="6"/>
    </row>
    <row r="525" spans="30:35" ht="12.75">
      <c r="AD525" s="6"/>
      <c r="AH525" s="6"/>
      <c r="AI525" s="6"/>
    </row>
    <row r="526" spans="30:35" ht="12.75">
      <c r="AD526" s="6"/>
      <c r="AH526" s="6"/>
      <c r="AI526" s="6"/>
    </row>
    <row r="527" spans="30:35" ht="12.75">
      <c r="AD527" s="6"/>
      <c r="AH527" s="6"/>
      <c r="AI527" s="6"/>
    </row>
    <row r="528" spans="30:35" ht="12.75">
      <c r="AD528" s="6"/>
      <c r="AH528" s="6"/>
      <c r="AI528" s="6"/>
    </row>
    <row r="529" spans="30:35" ht="12.75">
      <c r="AD529" s="6"/>
      <c r="AH529" s="6"/>
      <c r="AI529" s="6"/>
    </row>
    <row r="530" spans="30:35" ht="12.75">
      <c r="AD530" s="6"/>
      <c r="AH530" s="6"/>
      <c r="AI530" s="6"/>
    </row>
    <row r="531" spans="30:35" ht="12.75">
      <c r="AD531" s="6"/>
      <c r="AH531" s="6"/>
      <c r="AI531" s="6"/>
    </row>
    <row r="532" spans="30:35" ht="12.75">
      <c r="AD532" s="6"/>
      <c r="AH532" s="6"/>
      <c r="AI532" s="6"/>
    </row>
    <row r="533" spans="30:35" ht="12.75">
      <c r="AD533" s="6"/>
      <c r="AH533" s="6"/>
      <c r="AI533" s="6"/>
    </row>
    <row r="534" spans="30:35" ht="12.75">
      <c r="AD534" s="6"/>
      <c r="AH534" s="6"/>
      <c r="AI534" s="6"/>
    </row>
    <row r="535" spans="30:35" ht="12.75">
      <c r="AD535" s="6"/>
      <c r="AH535" s="6"/>
      <c r="AI535" s="6"/>
    </row>
    <row r="536" spans="30:35" ht="12.75">
      <c r="AD536" s="6"/>
      <c r="AH536" s="6"/>
      <c r="AI536" s="6"/>
    </row>
    <row r="537" spans="30:35" ht="12.75">
      <c r="AD537" s="6"/>
      <c r="AH537" s="6"/>
      <c r="AI537" s="6"/>
    </row>
    <row r="538" spans="30:35" ht="12.75">
      <c r="AD538" s="6"/>
      <c r="AH538" s="6"/>
      <c r="AI538" s="6"/>
    </row>
    <row r="539" spans="30:35" ht="12.75">
      <c r="AD539" s="6"/>
      <c r="AH539" s="6"/>
      <c r="AI539" s="6"/>
    </row>
    <row r="540" spans="30:35" ht="12.75">
      <c r="AD540" s="6"/>
      <c r="AH540" s="6"/>
      <c r="AI540" s="6"/>
    </row>
    <row r="541" spans="30:35" ht="12.75">
      <c r="AD541" s="6"/>
      <c r="AH541" s="6"/>
      <c r="AI541" s="6"/>
    </row>
    <row r="542" spans="30:35" ht="12.75">
      <c r="AD542" s="6"/>
      <c r="AH542" s="6"/>
      <c r="AI542" s="6"/>
    </row>
    <row r="543" spans="30:35" ht="12.75">
      <c r="AD543" s="6"/>
      <c r="AH543" s="6"/>
      <c r="AI543" s="6"/>
    </row>
    <row r="544" spans="30:35" ht="12.75">
      <c r="AD544" s="6"/>
      <c r="AH544" s="6"/>
      <c r="AI544" s="6"/>
    </row>
    <row r="545" spans="30:35" ht="12.75">
      <c r="AD545" s="6"/>
      <c r="AH545" s="6"/>
      <c r="AI545" s="6"/>
    </row>
    <row r="546" spans="30:35" ht="12.75">
      <c r="AD546" s="6"/>
      <c r="AH546" s="6"/>
      <c r="AI546" s="6"/>
    </row>
    <row r="547" spans="30:35" ht="12.75">
      <c r="AD547" s="6"/>
      <c r="AH547" s="6"/>
      <c r="AI547" s="6"/>
    </row>
    <row r="548" spans="30:35" ht="12.75">
      <c r="AD548" s="6"/>
      <c r="AH548" s="6"/>
      <c r="AI548" s="6"/>
    </row>
    <row r="549" spans="30:35" ht="12.75">
      <c r="AD549" s="6"/>
      <c r="AH549" s="6"/>
      <c r="AI549" s="6"/>
    </row>
    <row r="550" spans="30:35" ht="12.75">
      <c r="AD550" s="6"/>
      <c r="AH550" s="6"/>
      <c r="AI550" s="6"/>
    </row>
    <row r="551" spans="30:35" ht="12.75">
      <c r="AD551" s="6"/>
      <c r="AH551" s="6"/>
      <c r="AI551" s="6"/>
    </row>
    <row r="552" spans="30:35" ht="12.75">
      <c r="AD552" s="6"/>
      <c r="AH552" s="6"/>
      <c r="AI552" s="6"/>
    </row>
    <row r="553" spans="30:35" ht="12.75">
      <c r="AD553" s="6"/>
      <c r="AH553" s="6"/>
      <c r="AI553" s="6"/>
    </row>
    <row r="554" spans="30:35" ht="12.75">
      <c r="AD554" s="6"/>
      <c r="AH554" s="6"/>
      <c r="AI554" s="6"/>
    </row>
    <row r="555" spans="30:35" ht="12.75">
      <c r="AD555" s="6"/>
      <c r="AH555" s="6"/>
      <c r="AI555" s="6"/>
    </row>
    <row r="556" spans="30:35" ht="12.75">
      <c r="AD556" s="6"/>
      <c r="AH556" s="6"/>
      <c r="AI556" s="6"/>
    </row>
    <row r="557" spans="30:35" ht="12.75">
      <c r="AD557" s="6"/>
      <c r="AH557" s="6"/>
      <c r="AI557" s="6"/>
    </row>
    <row r="558" spans="30:35" ht="12.75">
      <c r="AD558" s="6"/>
      <c r="AH558" s="6"/>
      <c r="AI558" s="6"/>
    </row>
    <row r="559" spans="30:35" ht="12.75">
      <c r="AD559" s="6"/>
      <c r="AH559" s="6"/>
      <c r="AI559" s="6"/>
    </row>
    <row r="560" spans="30:35" ht="12.75">
      <c r="AD560" s="6"/>
      <c r="AH560" s="6"/>
      <c r="AI560" s="6"/>
    </row>
    <row r="561" spans="30:35" ht="12.75">
      <c r="AD561" s="6"/>
      <c r="AH561" s="6"/>
      <c r="AI561" s="6"/>
    </row>
    <row r="562" spans="30:35" ht="12.75">
      <c r="AD562" s="6"/>
      <c r="AH562" s="6"/>
      <c r="AI562" s="6"/>
    </row>
    <row r="563" spans="30:35" ht="12.75">
      <c r="AD563" s="6"/>
      <c r="AH563" s="6"/>
      <c r="AI563" s="6"/>
    </row>
    <row r="564" spans="30:35" ht="12.75">
      <c r="AD564" s="6"/>
      <c r="AH564" s="6"/>
      <c r="AI564" s="6"/>
    </row>
    <row r="565" spans="30:35" ht="12.75">
      <c r="AD565" s="6"/>
      <c r="AH565" s="6"/>
      <c r="AI565" s="6"/>
    </row>
    <row r="566" spans="30:35" ht="12.75">
      <c r="AD566" s="6"/>
      <c r="AH566" s="6"/>
      <c r="AI566" s="6"/>
    </row>
    <row r="567" spans="30:35" ht="12.75">
      <c r="AD567" s="6"/>
      <c r="AH567" s="6"/>
      <c r="AI567" s="6"/>
    </row>
    <row r="568" spans="30:35" ht="12.75">
      <c r="AD568" s="6"/>
      <c r="AH568" s="6"/>
      <c r="AI568" s="6"/>
    </row>
    <row r="569" spans="30:35" ht="12.75">
      <c r="AD569" s="6"/>
      <c r="AH569" s="6"/>
      <c r="AI569" s="6"/>
    </row>
    <row r="570" spans="30:35" ht="12.75">
      <c r="AD570" s="6"/>
      <c r="AH570" s="6"/>
      <c r="AI570" s="6"/>
    </row>
    <row r="571" spans="30:35" ht="12.75">
      <c r="AD571" s="6"/>
      <c r="AH571" s="6"/>
      <c r="AI571" s="6"/>
    </row>
    <row r="572" spans="30:35" ht="12.75">
      <c r="AD572" s="6"/>
      <c r="AH572" s="6"/>
      <c r="AI572" s="6"/>
    </row>
    <row r="573" spans="30:35" ht="12.75">
      <c r="AD573" s="6"/>
      <c r="AH573" s="6"/>
      <c r="AI573" s="6"/>
    </row>
    <row r="574" spans="30:35" ht="12.75">
      <c r="AD574" s="6"/>
      <c r="AH574" s="6"/>
      <c r="AI574" s="6"/>
    </row>
    <row r="575" spans="30:35" ht="12.75">
      <c r="AD575" s="6"/>
      <c r="AH575" s="6"/>
      <c r="AI575" s="6"/>
    </row>
    <row r="576" spans="30:35" ht="12.75">
      <c r="AD576" s="6"/>
      <c r="AH576" s="6"/>
      <c r="AI576" s="6"/>
    </row>
    <row r="577" spans="30:35" ht="12.75">
      <c r="AD577" s="6"/>
      <c r="AH577" s="6"/>
      <c r="AI577" s="6"/>
    </row>
    <row r="578" spans="30:35" ht="12.75">
      <c r="AD578" s="6"/>
      <c r="AH578" s="6"/>
      <c r="AI578" s="6"/>
    </row>
    <row r="579" spans="30:35" ht="12.75">
      <c r="AD579" s="6"/>
      <c r="AH579" s="6"/>
      <c r="AI579" s="6"/>
    </row>
    <row r="580" spans="30:35" ht="12.75">
      <c r="AD580" s="6"/>
      <c r="AH580" s="6"/>
      <c r="AI580" s="6"/>
    </row>
    <row r="581" spans="30:35" ht="12.75">
      <c r="AD581" s="6"/>
      <c r="AH581" s="6"/>
      <c r="AI581" s="6"/>
    </row>
    <row r="582" spans="30:35" ht="12.75">
      <c r="AD582" s="6"/>
      <c r="AH582" s="6"/>
      <c r="AI582" s="6"/>
    </row>
    <row r="583" spans="30:35" ht="12.75">
      <c r="AD583" s="6"/>
      <c r="AH583" s="6"/>
      <c r="AI583" s="6"/>
    </row>
    <row r="584" spans="30:35" ht="12.75">
      <c r="AD584" s="6"/>
      <c r="AH584" s="6"/>
      <c r="AI584" s="6"/>
    </row>
    <row r="585" spans="30:35" ht="12.75">
      <c r="AD585" s="6"/>
      <c r="AH585" s="6"/>
      <c r="AI585" s="6"/>
    </row>
    <row r="586" spans="30:35" ht="12.75">
      <c r="AD586" s="6"/>
      <c r="AH586" s="6"/>
      <c r="AI586" s="6"/>
    </row>
    <row r="587" spans="30:35" ht="12.75">
      <c r="AD587" s="6"/>
      <c r="AH587" s="6"/>
      <c r="AI587" s="6"/>
    </row>
    <row r="588" spans="30:35" ht="12.75">
      <c r="AD588" s="6"/>
      <c r="AH588" s="6"/>
      <c r="AI588" s="6"/>
    </row>
    <row r="589" spans="30:35" ht="12.75">
      <c r="AD589" s="6"/>
      <c r="AH589" s="6"/>
      <c r="AI589" s="6"/>
    </row>
    <row r="590" spans="30:35" ht="12.75">
      <c r="AD590" s="6"/>
      <c r="AH590" s="6"/>
      <c r="AI590" s="6"/>
    </row>
    <row r="591" spans="30:35" ht="12.75">
      <c r="AD591" s="6"/>
      <c r="AH591" s="6"/>
      <c r="AI591" s="6"/>
    </row>
    <row r="592" spans="30:35" ht="12.75">
      <c r="AD592" s="6"/>
      <c r="AH592" s="6"/>
      <c r="AI592" s="6"/>
    </row>
    <row r="593" spans="30:35" ht="12.75">
      <c r="AD593" s="6"/>
      <c r="AH593" s="6"/>
      <c r="AI593" s="6"/>
    </row>
    <row r="594" spans="30:35" ht="12.75">
      <c r="AD594" s="6"/>
      <c r="AH594" s="6"/>
      <c r="AI594" s="6"/>
    </row>
    <row r="595" spans="30:35" ht="12.75">
      <c r="AD595" s="6"/>
      <c r="AH595" s="6"/>
      <c r="AI595" s="6"/>
    </row>
    <row r="596" spans="30:35" ht="12.75">
      <c r="AD596" s="6"/>
      <c r="AH596" s="6"/>
      <c r="AI596" s="6"/>
    </row>
    <row r="597" spans="30:35" ht="12.75">
      <c r="AD597" s="6"/>
      <c r="AH597" s="6"/>
      <c r="AI597" s="6"/>
    </row>
    <row r="598" spans="30:35" ht="12.75">
      <c r="AD598" s="6"/>
      <c r="AH598" s="6"/>
      <c r="AI598" s="6"/>
    </row>
    <row r="599" spans="30:35" ht="12.75">
      <c r="AD599" s="6"/>
      <c r="AH599" s="6"/>
      <c r="AI599" s="6"/>
    </row>
    <row r="600" spans="30:35" ht="12.75">
      <c r="AD600" s="6"/>
      <c r="AH600" s="6"/>
      <c r="AI600" s="6"/>
    </row>
    <row r="601" spans="30:35" ht="12.75">
      <c r="AD601" s="6"/>
      <c r="AH601" s="6"/>
      <c r="AI601" s="6"/>
    </row>
    <row r="602" spans="30:35" ht="12.75">
      <c r="AD602" s="6"/>
      <c r="AH602" s="6"/>
      <c r="AI602" s="6"/>
    </row>
    <row r="603" spans="30:35" ht="12.75">
      <c r="AD603" s="6"/>
      <c r="AH603" s="6"/>
      <c r="AI603" s="6"/>
    </row>
    <row r="604" spans="30:35" ht="12.75">
      <c r="AD604" s="6"/>
      <c r="AH604" s="6"/>
      <c r="AI604" s="6"/>
    </row>
    <row r="605" spans="30:35" ht="12.75">
      <c r="AD605" s="6"/>
      <c r="AH605" s="6"/>
      <c r="AI605" s="6"/>
    </row>
    <row r="606" spans="30:35" ht="12.75">
      <c r="AD606" s="6"/>
      <c r="AH606" s="6"/>
      <c r="AI606" s="6"/>
    </row>
    <row r="607" spans="30:35" ht="12.75">
      <c r="AD607" s="6"/>
      <c r="AH607" s="6"/>
      <c r="AI607" s="6"/>
    </row>
    <row r="608" spans="30:35" ht="12.75">
      <c r="AD608" s="6"/>
      <c r="AH608" s="6"/>
      <c r="AI608" s="6"/>
    </row>
    <row r="609" spans="30:35" ht="12.75">
      <c r="AD609" s="6"/>
      <c r="AH609" s="6"/>
      <c r="AI609" s="6"/>
    </row>
    <row r="610" spans="30:35" ht="12.75">
      <c r="AD610" s="6"/>
      <c r="AH610" s="6"/>
      <c r="AI610" s="6"/>
    </row>
    <row r="611" spans="30:35" ht="12.75">
      <c r="AD611" s="6"/>
      <c r="AH611" s="6"/>
      <c r="AI611" s="6"/>
    </row>
    <row r="612" spans="30:35" ht="12.75">
      <c r="AD612" s="6"/>
      <c r="AH612" s="6"/>
      <c r="AI612" s="6"/>
    </row>
    <row r="613" spans="30:35" ht="12.75">
      <c r="AD613" s="6"/>
      <c r="AH613" s="6"/>
      <c r="AI613" s="6"/>
    </row>
    <row r="614" spans="30:35" ht="12.75">
      <c r="AD614" s="6"/>
      <c r="AH614" s="6"/>
      <c r="AI614" s="6"/>
    </row>
    <row r="615" spans="30:35" ht="12.75">
      <c r="AD615" s="6"/>
      <c r="AH615" s="6"/>
      <c r="AI615" s="6"/>
    </row>
    <row r="616" spans="30:35" ht="12.75">
      <c r="AD616" s="6"/>
      <c r="AH616" s="6"/>
      <c r="AI616" s="6"/>
    </row>
    <row r="617" spans="30:35" ht="12.75">
      <c r="AD617" s="6"/>
      <c r="AH617" s="6"/>
      <c r="AI617" s="6"/>
    </row>
    <row r="618" spans="30:35" ht="12.75">
      <c r="AD618" s="6"/>
      <c r="AH618" s="6"/>
      <c r="AI618" s="6"/>
    </row>
    <row r="619" spans="30:35" ht="12.75">
      <c r="AD619" s="6"/>
      <c r="AH619" s="6"/>
      <c r="AI619" s="6"/>
    </row>
    <row r="620" spans="30:35" ht="12.75">
      <c r="AD620" s="6"/>
      <c r="AH620" s="6"/>
      <c r="AI620" s="6"/>
    </row>
    <row r="621" spans="30:35" ht="12.75">
      <c r="AD621" s="6"/>
      <c r="AH621" s="6"/>
      <c r="AI621" s="6"/>
    </row>
    <row r="622" spans="30:35" ht="12.75">
      <c r="AD622" s="6"/>
      <c r="AH622" s="6"/>
      <c r="AI622" s="6"/>
    </row>
    <row r="623" spans="30:35" ht="12.75">
      <c r="AD623" s="6"/>
      <c r="AH623" s="6"/>
      <c r="AI623" s="6"/>
    </row>
    <row r="624" spans="30:35" ht="12.75">
      <c r="AD624" s="6"/>
      <c r="AH624" s="6"/>
      <c r="AI624" s="6"/>
    </row>
    <row r="625" spans="30:35" ht="12.75">
      <c r="AD625" s="6"/>
      <c r="AH625" s="6"/>
      <c r="AI625" s="6"/>
    </row>
    <row r="626" spans="30:35" ht="12.75">
      <c r="AD626" s="6"/>
      <c r="AH626" s="6"/>
      <c r="AI626" s="6"/>
    </row>
    <row r="627" spans="30:35" ht="12.75">
      <c r="AD627" s="6"/>
      <c r="AH627" s="6"/>
      <c r="AI627" s="6"/>
    </row>
    <row r="628" spans="30:35" ht="12.75">
      <c r="AD628" s="6"/>
      <c r="AH628" s="6"/>
      <c r="AI628" s="6"/>
    </row>
    <row r="629" spans="30:35" ht="12.75">
      <c r="AD629" s="6"/>
      <c r="AH629" s="6"/>
      <c r="AI629" s="6"/>
    </row>
    <row r="630" spans="30:35" ht="12.75">
      <c r="AD630" s="6"/>
      <c r="AH630" s="6"/>
      <c r="AI630" s="6"/>
    </row>
    <row r="631" spans="30:35" ht="12.75">
      <c r="AD631" s="6"/>
      <c r="AH631" s="6"/>
      <c r="AI631" s="6"/>
    </row>
    <row r="632" spans="30:35" ht="12.75">
      <c r="AD632" s="6"/>
      <c r="AH632" s="6"/>
      <c r="AI632" s="6"/>
    </row>
    <row r="633" spans="30:35" ht="12.75">
      <c r="AD633" s="6"/>
      <c r="AH633" s="6"/>
      <c r="AI633" s="6"/>
    </row>
    <row r="634" spans="30:35" ht="12.75">
      <c r="AD634" s="6"/>
      <c r="AH634" s="6"/>
      <c r="AI634" s="6"/>
    </row>
    <row r="635" spans="30:35" ht="12.75">
      <c r="AD635" s="6"/>
      <c r="AH635" s="6"/>
      <c r="AI635" s="6"/>
    </row>
    <row r="636" spans="30:35" ht="12.75">
      <c r="AD636" s="6"/>
      <c r="AH636" s="6"/>
      <c r="AI636" s="6"/>
    </row>
    <row r="637" spans="30:35" ht="12.75">
      <c r="AD637" s="6"/>
      <c r="AH637" s="6"/>
      <c r="AI637" s="6"/>
    </row>
    <row r="638" spans="30:35" ht="12.75">
      <c r="AD638" s="6"/>
      <c r="AH638" s="6"/>
      <c r="AI638" s="6"/>
    </row>
    <row r="639" spans="30:35" ht="12.75">
      <c r="AD639" s="6"/>
      <c r="AH639" s="6"/>
      <c r="AI639" s="6"/>
    </row>
    <row r="640" spans="30:35" ht="12.75">
      <c r="AD640" s="6"/>
      <c r="AH640" s="6"/>
      <c r="AI640" s="6"/>
    </row>
    <row r="641" spans="30:35" ht="12.75">
      <c r="AD641" s="6"/>
      <c r="AH641" s="6"/>
      <c r="AI641" s="6"/>
    </row>
    <row r="642" spans="30:35" ht="12.75">
      <c r="AD642" s="6"/>
      <c r="AH642" s="6"/>
      <c r="AI642" s="6"/>
    </row>
    <row r="643" spans="30:35" ht="12.75">
      <c r="AD643" s="6"/>
      <c r="AH643" s="6"/>
      <c r="AI643" s="6"/>
    </row>
    <row r="644" spans="30:35" ht="12.75">
      <c r="AD644" s="6"/>
      <c r="AH644" s="6"/>
      <c r="AI644" s="6"/>
    </row>
    <row r="645" spans="30:35" ht="12.75">
      <c r="AD645" s="6"/>
      <c r="AH645" s="6"/>
      <c r="AI645" s="6"/>
    </row>
    <row r="646" spans="30:35" ht="12.75">
      <c r="AD646" s="6"/>
      <c r="AH646" s="6"/>
      <c r="AI646" s="6"/>
    </row>
    <row r="647" spans="30:35" ht="12.75">
      <c r="AD647" s="6"/>
      <c r="AH647" s="6"/>
      <c r="AI647" s="6"/>
    </row>
    <row r="648" spans="30:35" ht="12.75">
      <c r="AD648" s="6"/>
      <c r="AH648" s="6"/>
      <c r="AI648" s="6"/>
    </row>
    <row r="649" spans="30:35" ht="12.75">
      <c r="AD649" s="6"/>
      <c r="AH649" s="6"/>
      <c r="AI649" s="6"/>
    </row>
    <row r="650" spans="30:35" ht="12.75">
      <c r="AD650" s="6"/>
      <c r="AH650" s="6"/>
      <c r="AI650" s="6"/>
    </row>
    <row r="651" spans="30:35" ht="12.75">
      <c r="AD651" s="6"/>
      <c r="AH651" s="6"/>
      <c r="AI651" s="6"/>
    </row>
    <row r="652" spans="30:35" ht="12.75">
      <c r="AD652" s="6"/>
      <c r="AH652" s="6"/>
      <c r="AI652" s="6"/>
    </row>
    <row r="653" spans="30:35" ht="12.75">
      <c r="AD653" s="6"/>
      <c r="AH653" s="6"/>
      <c r="AI653" s="6"/>
    </row>
    <row r="654" spans="30:35" ht="12.75">
      <c r="AD654" s="6"/>
      <c r="AH654" s="6"/>
      <c r="AI654" s="6"/>
    </row>
    <row r="655" spans="30:35" ht="12.75">
      <c r="AD655" s="6"/>
      <c r="AH655" s="6"/>
      <c r="AI655" s="6"/>
    </row>
    <row r="656" spans="30:35" ht="12.75">
      <c r="AD656" s="6"/>
      <c r="AH656" s="6"/>
      <c r="AI656" s="6"/>
    </row>
    <row r="657" spans="30:35" ht="12.75">
      <c r="AD657" s="6"/>
      <c r="AH657" s="6"/>
      <c r="AI657" s="6"/>
    </row>
    <row r="658" spans="30:35" ht="12.75">
      <c r="AD658" s="6"/>
      <c r="AH658" s="6"/>
      <c r="AI658" s="6"/>
    </row>
    <row r="659" spans="30:35" ht="12.75">
      <c r="AD659" s="6"/>
      <c r="AH659" s="6"/>
      <c r="AI659" s="6"/>
    </row>
    <row r="660" spans="30:35" ht="12.75">
      <c r="AD660" s="6"/>
      <c r="AH660" s="6"/>
      <c r="AI660" s="6"/>
    </row>
    <row r="661" spans="30:35" ht="12.75">
      <c r="AD661" s="6"/>
      <c r="AH661" s="6"/>
      <c r="AI661" s="6"/>
    </row>
    <row r="662" spans="30:35" ht="12.75">
      <c r="AD662" s="6"/>
      <c r="AH662" s="6"/>
      <c r="AI662" s="6"/>
    </row>
    <row r="663" spans="30:35" ht="12.75">
      <c r="AD663" s="6"/>
      <c r="AH663" s="6"/>
      <c r="AI663" s="6"/>
    </row>
    <row r="664" spans="30:35" ht="12.75">
      <c r="AD664" s="6"/>
      <c r="AH664" s="6"/>
      <c r="AI664" s="6"/>
    </row>
    <row r="665" spans="30:35" ht="12.75">
      <c r="AD665" s="6"/>
      <c r="AH665" s="6"/>
      <c r="AI665" s="6"/>
    </row>
    <row r="666" spans="30:35" ht="12.75">
      <c r="AD666" s="6"/>
      <c r="AH666" s="6"/>
      <c r="AI666" s="6"/>
    </row>
    <row r="667" spans="30:35" ht="12.75">
      <c r="AD667" s="6"/>
      <c r="AH667" s="6"/>
      <c r="AI667" s="6"/>
    </row>
    <row r="668" spans="30:35" ht="12.75">
      <c r="AD668" s="6"/>
      <c r="AH668" s="6"/>
      <c r="AI668" s="6"/>
    </row>
    <row r="669" spans="30:35" ht="12.75">
      <c r="AD669" s="6"/>
      <c r="AH669" s="6"/>
      <c r="AI669" s="6"/>
    </row>
    <row r="670" spans="30:35" ht="12.75">
      <c r="AD670" s="6"/>
      <c r="AH670" s="6"/>
      <c r="AI670" s="6"/>
    </row>
    <row r="671" spans="30:35" ht="12.75">
      <c r="AD671" s="6"/>
      <c r="AH671" s="6"/>
      <c r="AI671" s="6"/>
    </row>
    <row r="672" spans="30:35" ht="12.75">
      <c r="AD672" s="6"/>
      <c r="AH672" s="6"/>
      <c r="AI672" s="6"/>
    </row>
    <row r="673" spans="30:35" ht="12.75">
      <c r="AD673" s="6"/>
      <c r="AH673" s="6"/>
      <c r="AI673" s="6"/>
    </row>
    <row r="674" spans="30:35" ht="12.75">
      <c r="AD674" s="6"/>
      <c r="AH674" s="6"/>
      <c r="AI674" s="6"/>
    </row>
    <row r="675" spans="30:35" ht="12.75">
      <c r="AD675" s="6"/>
      <c r="AH675" s="6"/>
      <c r="AI675" s="6"/>
    </row>
    <row r="676" spans="30:35" ht="12.75">
      <c r="AD676" s="6"/>
      <c r="AH676" s="6"/>
      <c r="AI676" s="6"/>
    </row>
    <row r="677" spans="30:35" ht="12.75">
      <c r="AD677" s="6"/>
      <c r="AH677" s="6"/>
      <c r="AI677" s="6"/>
    </row>
    <row r="678" spans="30:35" ht="12.75">
      <c r="AD678" s="6"/>
      <c r="AH678" s="6"/>
      <c r="AI678" s="6"/>
    </row>
    <row r="679" spans="30:35" ht="12.75">
      <c r="AD679" s="6"/>
      <c r="AH679" s="6"/>
      <c r="AI679" s="6"/>
    </row>
    <row r="680" spans="30:35" ht="12.75">
      <c r="AD680" s="6"/>
      <c r="AH680" s="6"/>
      <c r="AI680" s="6"/>
    </row>
    <row r="681" spans="30:35" ht="12.75">
      <c r="AD681" s="6"/>
      <c r="AH681" s="6"/>
      <c r="AI681" s="6"/>
    </row>
    <row r="682" spans="30:35" ht="12.75">
      <c r="AD682" s="6"/>
      <c r="AH682" s="6"/>
      <c r="AI682" s="6"/>
    </row>
    <row r="683" spans="30:35" ht="12.75">
      <c r="AD683" s="6"/>
      <c r="AH683" s="6"/>
      <c r="AI683" s="6"/>
    </row>
    <row r="684" spans="30:35" ht="12.75">
      <c r="AD684" s="6"/>
      <c r="AH684" s="6"/>
      <c r="AI684" s="6"/>
    </row>
    <row r="685" spans="30:35" ht="12.75">
      <c r="AD685" s="6"/>
      <c r="AH685" s="6"/>
      <c r="AI685" s="6"/>
    </row>
    <row r="686" spans="30:35" ht="12.75">
      <c r="AD686" s="6"/>
      <c r="AH686" s="6"/>
      <c r="AI686" s="6"/>
    </row>
    <row r="687" spans="30:35" ht="12.75">
      <c r="AD687" s="6"/>
      <c r="AH687" s="6"/>
      <c r="AI687" s="6"/>
    </row>
    <row r="688" spans="30:35" ht="12.75">
      <c r="AD688" s="6"/>
      <c r="AH688" s="6"/>
      <c r="AI688" s="6"/>
    </row>
    <row r="689" spans="30:35" ht="12.75">
      <c r="AD689" s="6"/>
      <c r="AH689" s="6"/>
      <c r="AI689" s="6"/>
    </row>
    <row r="690" spans="30:35" ht="12.75">
      <c r="AD690" s="6"/>
      <c r="AH690" s="6"/>
      <c r="AI690" s="6"/>
    </row>
    <row r="691" spans="30:35" ht="12.75">
      <c r="AD691" s="6"/>
      <c r="AH691" s="6"/>
      <c r="AI691" s="6"/>
    </row>
    <row r="692" spans="30:35" ht="12.75">
      <c r="AD692" s="6"/>
      <c r="AH692" s="6"/>
      <c r="AI692" s="6"/>
    </row>
    <row r="693" spans="30:35" ht="12.75">
      <c r="AD693" s="6"/>
      <c r="AH693" s="6"/>
      <c r="AI693" s="6"/>
    </row>
    <row r="694" spans="30:35" ht="12.75">
      <c r="AD694" s="6"/>
      <c r="AH694" s="6"/>
      <c r="AI694" s="6"/>
    </row>
    <row r="695" spans="30:35" ht="12.75">
      <c r="AD695" s="6"/>
      <c r="AH695" s="6"/>
      <c r="AI695" s="6"/>
    </row>
    <row r="696" spans="30:35" ht="12.75">
      <c r="AD696" s="6"/>
      <c r="AH696" s="6"/>
      <c r="AI696" s="6"/>
    </row>
    <row r="697" spans="30:35" ht="12.75">
      <c r="AD697" s="6"/>
      <c r="AH697" s="6"/>
      <c r="AI697" s="6"/>
    </row>
    <row r="698" spans="30:35" ht="12.75">
      <c r="AD698" s="6"/>
      <c r="AH698" s="6"/>
      <c r="AI698" s="6"/>
    </row>
    <row r="699" spans="30:35" ht="12.75">
      <c r="AD699" s="6"/>
      <c r="AH699" s="6"/>
      <c r="AI699" s="6"/>
    </row>
    <row r="700" spans="30:35" ht="12.75">
      <c r="AD700" s="6"/>
      <c r="AH700" s="6"/>
      <c r="AI700" s="6"/>
    </row>
    <row r="701" spans="30:35" ht="12.75">
      <c r="AD701" s="6"/>
      <c r="AH701" s="6"/>
      <c r="AI701" s="6"/>
    </row>
    <row r="702" spans="30:35" ht="12.75">
      <c r="AD702" s="6"/>
      <c r="AH702" s="6"/>
      <c r="AI702" s="6"/>
    </row>
    <row r="703" spans="30:35" ht="12.75">
      <c r="AD703" s="6"/>
      <c r="AH703" s="6"/>
      <c r="AI703" s="6"/>
    </row>
    <row r="704" spans="30:35" ht="12.75">
      <c r="AD704" s="6"/>
      <c r="AH704" s="6"/>
      <c r="AI704" s="6"/>
    </row>
    <row r="705" spans="30:35" ht="12.75">
      <c r="AD705" s="6"/>
      <c r="AH705" s="6"/>
      <c r="AI705" s="6"/>
    </row>
    <row r="706" spans="30:35" ht="12.75">
      <c r="AD706" s="6"/>
      <c r="AH706" s="6"/>
      <c r="AI706" s="6"/>
    </row>
    <row r="707" spans="30:35" ht="12.75">
      <c r="AD707" s="6"/>
      <c r="AH707" s="6"/>
      <c r="AI707" s="6"/>
    </row>
    <row r="708" spans="30:35" ht="12.75">
      <c r="AD708" s="6"/>
      <c r="AH708" s="6"/>
      <c r="AI708" s="6"/>
    </row>
    <row r="709" spans="30:35" ht="12.75">
      <c r="AD709" s="6"/>
      <c r="AH709" s="6"/>
      <c r="AI709" s="6"/>
    </row>
    <row r="710" spans="30:35" ht="12.75">
      <c r="AD710" s="6"/>
      <c r="AH710" s="6"/>
      <c r="AI710" s="6"/>
    </row>
    <row r="711" spans="30:35" ht="12.75">
      <c r="AD711" s="6"/>
      <c r="AH711" s="6"/>
      <c r="AI711" s="6"/>
    </row>
    <row r="712" spans="30:35" ht="12.75">
      <c r="AD712" s="6"/>
      <c r="AH712" s="6"/>
      <c r="AI712" s="6"/>
    </row>
    <row r="713" spans="30:35" ht="12.75">
      <c r="AD713" s="6"/>
      <c r="AH713" s="6"/>
      <c r="AI713" s="6"/>
    </row>
    <row r="714" spans="30:35" ht="12.75">
      <c r="AD714" s="6"/>
      <c r="AH714" s="6"/>
      <c r="AI714" s="6"/>
    </row>
    <row r="715" spans="30:35" ht="12.75">
      <c r="AD715" s="6"/>
      <c r="AH715" s="6"/>
      <c r="AI715" s="6"/>
    </row>
    <row r="716" spans="30:35" ht="12.75">
      <c r="AD716" s="6"/>
      <c r="AH716" s="6"/>
      <c r="AI716" s="6"/>
    </row>
    <row r="717" spans="30:35" ht="12.75">
      <c r="AD717" s="6"/>
      <c r="AH717" s="6"/>
      <c r="AI717" s="6"/>
    </row>
    <row r="718" spans="30:35" ht="12.75">
      <c r="AD718" s="6"/>
      <c r="AH718" s="6"/>
      <c r="AI718" s="6"/>
    </row>
    <row r="719" spans="30:35" ht="12.75">
      <c r="AD719" s="6"/>
      <c r="AH719" s="6"/>
      <c r="AI719" s="6"/>
    </row>
    <row r="720" spans="30:35" ht="12.75">
      <c r="AD720" s="6"/>
      <c r="AH720" s="6"/>
      <c r="AI720" s="6"/>
    </row>
    <row r="721" spans="30:35" ht="12.75">
      <c r="AD721" s="6"/>
      <c r="AH721" s="6"/>
      <c r="AI721" s="6"/>
    </row>
    <row r="722" spans="30:35" ht="12.75">
      <c r="AD722" s="6"/>
      <c r="AH722" s="6"/>
      <c r="AI722" s="6"/>
    </row>
    <row r="723" spans="30:35" ht="12.75">
      <c r="AD723" s="6"/>
      <c r="AH723" s="6"/>
      <c r="AI723" s="6"/>
    </row>
    <row r="724" spans="30:35" ht="12.75">
      <c r="AD724" s="6"/>
      <c r="AH724" s="6"/>
      <c r="AI724" s="6"/>
    </row>
    <row r="725" spans="30:35" ht="12.75">
      <c r="AD725" s="6"/>
      <c r="AH725" s="6"/>
      <c r="AI725" s="6"/>
    </row>
    <row r="726" spans="30:35" ht="12.75">
      <c r="AD726" s="6"/>
      <c r="AH726" s="6"/>
      <c r="AI726" s="6"/>
    </row>
    <row r="727" spans="30:35" ht="12.75">
      <c r="AD727" s="6"/>
      <c r="AH727" s="6"/>
      <c r="AI727" s="6"/>
    </row>
    <row r="728" spans="30:35" ht="12.75">
      <c r="AD728" s="6"/>
      <c r="AH728" s="6"/>
      <c r="AI728" s="6"/>
    </row>
    <row r="729" spans="30:35" ht="12.75">
      <c r="AD729" s="6"/>
      <c r="AH729" s="6"/>
      <c r="AI729" s="6"/>
    </row>
    <row r="730" spans="30:35" ht="12.75">
      <c r="AD730" s="6"/>
      <c r="AH730" s="6"/>
      <c r="AI730" s="6"/>
    </row>
    <row r="731" spans="30:35" ht="12.75">
      <c r="AD731" s="6"/>
      <c r="AH731" s="6"/>
      <c r="AI731" s="6"/>
    </row>
    <row r="732" spans="30:35" ht="12.75">
      <c r="AD732" s="6"/>
      <c r="AH732" s="6"/>
      <c r="AI732" s="6"/>
    </row>
    <row r="733" spans="30:35" ht="12.75">
      <c r="AD733" s="6"/>
      <c r="AH733" s="6"/>
      <c r="AI733" s="6"/>
    </row>
    <row r="734" spans="30:35" ht="12.75">
      <c r="AD734" s="6"/>
      <c r="AH734" s="6"/>
      <c r="AI734" s="6"/>
    </row>
    <row r="735" spans="30:35" ht="12.75">
      <c r="AD735" s="6"/>
      <c r="AH735" s="6"/>
      <c r="AI735" s="6"/>
    </row>
    <row r="736" spans="30:35" ht="12.75">
      <c r="AD736" s="6"/>
      <c r="AH736" s="6"/>
      <c r="AI736" s="6"/>
    </row>
    <row r="737" spans="30:35" ht="12.75">
      <c r="AD737" s="6"/>
      <c r="AH737" s="6"/>
      <c r="AI737" s="6"/>
    </row>
    <row r="738" spans="30:35" ht="12.75">
      <c r="AD738" s="6"/>
      <c r="AH738" s="6"/>
      <c r="AI738" s="6"/>
    </row>
    <row r="739" spans="30:35" ht="12.75">
      <c r="AD739" s="6"/>
      <c r="AH739" s="6"/>
      <c r="AI739" s="6"/>
    </row>
    <row r="740" spans="30:35" ht="12.75">
      <c r="AD740" s="6"/>
      <c r="AH740" s="6"/>
      <c r="AI740" s="6"/>
    </row>
    <row r="741" spans="30:35" ht="12.75">
      <c r="AD741" s="6"/>
      <c r="AH741" s="6"/>
      <c r="AI741" s="6"/>
    </row>
    <row r="742" spans="30:35" ht="12.75">
      <c r="AD742" s="6"/>
      <c r="AH742" s="6"/>
      <c r="AI742" s="6"/>
    </row>
    <row r="743" spans="30:35" ht="12.75">
      <c r="AD743" s="6"/>
      <c r="AH743" s="6"/>
      <c r="AI743" s="6"/>
    </row>
    <row r="744" spans="30:35" ht="12.75">
      <c r="AD744" s="6"/>
      <c r="AH744" s="6"/>
      <c r="AI744" s="6"/>
    </row>
    <row r="745" spans="30:35" ht="12.75">
      <c r="AD745" s="6"/>
      <c r="AH745" s="6"/>
      <c r="AI745" s="6"/>
    </row>
    <row r="746" spans="30:35" ht="12.75">
      <c r="AD746" s="6"/>
      <c r="AH746" s="6"/>
      <c r="AI746" s="6"/>
    </row>
    <row r="747" spans="30:35" ht="12.75">
      <c r="AD747" s="6"/>
      <c r="AH747" s="6"/>
      <c r="AI747" s="6"/>
    </row>
    <row r="748" spans="30:35" ht="12.75">
      <c r="AD748" s="6"/>
      <c r="AH748" s="6"/>
      <c r="AI748" s="6"/>
    </row>
    <row r="749" spans="30:35" ht="12.75">
      <c r="AD749" s="6"/>
      <c r="AH749" s="6"/>
      <c r="AI749" s="6"/>
    </row>
    <row r="750" spans="30:35" ht="12.75">
      <c r="AD750" s="6"/>
      <c r="AH750" s="6"/>
      <c r="AI750" s="6"/>
    </row>
    <row r="751" spans="30:35" ht="12.75">
      <c r="AD751" s="6"/>
      <c r="AH751" s="6"/>
      <c r="AI751" s="6"/>
    </row>
    <row r="752" spans="30:35" ht="12.75">
      <c r="AD752" s="6"/>
      <c r="AH752" s="6"/>
      <c r="AI752" s="6"/>
    </row>
    <row r="753" spans="30:35" ht="12.75">
      <c r="AD753" s="6"/>
      <c r="AH753" s="6"/>
      <c r="AI753" s="6"/>
    </row>
    <row r="754" spans="30:35" ht="12.75">
      <c r="AD754" s="6"/>
      <c r="AH754" s="6"/>
      <c r="AI754" s="6"/>
    </row>
    <row r="755" spans="30:35" ht="12.75">
      <c r="AD755" s="6"/>
      <c r="AH755" s="6"/>
      <c r="AI755" s="6"/>
    </row>
    <row r="756" spans="30:35" ht="12.75">
      <c r="AD756" s="6"/>
      <c r="AH756" s="6"/>
      <c r="AI756" s="6"/>
    </row>
    <row r="757" spans="30:35" ht="12.75">
      <c r="AD757" s="6"/>
      <c r="AH757" s="6"/>
      <c r="AI757" s="6"/>
    </row>
    <row r="758" spans="30:35" ht="12.75">
      <c r="AD758" s="6"/>
      <c r="AH758" s="6"/>
      <c r="AI758" s="6"/>
    </row>
    <row r="759" spans="30:35" ht="12.75">
      <c r="AD759" s="6"/>
      <c r="AH759" s="6"/>
      <c r="AI759" s="6"/>
    </row>
    <row r="760" spans="30:35" ht="12.75">
      <c r="AD760" s="6"/>
      <c r="AH760" s="6"/>
      <c r="AI760" s="6"/>
    </row>
    <row r="761" spans="30:35" ht="12.75">
      <c r="AD761" s="6"/>
      <c r="AH761" s="6"/>
      <c r="AI761" s="6"/>
    </row>
    <row r="762" spans="30:35" ht="12.75">
      <c r="AD762" s="6"/>
      <c r="AH762" s="6"/>
      <c r="AI762" s="6"/>
    </row>
    <row r="763" spans="30:35" ht="12.75">
      <c r="AD763" s="6"/>
      <c r="AH763" s="6"/>
      <c r="AI763" s="6"/>
    </row>
    <row r="764" spans="30:35" ht="12.75">
      <c r="AD764" s="6"/>
      <c r="AH764" s="6"/>
      <c r="AI764" s="6"/>
    </row>
    <row r="765" spans="30:35" ht="12.75">
      <c r="AD765" s="6"/>
      <c r="AH765" s="6"/>
      <c r="AI765" s="6"/>
    </row>
    <row r="766" spans="30:35" ht="12.75">
      <c r="AD766" s="6"/>
      <c r="AH766" s="6"/>
      <c r="AI766" s="6"/>
    </row>
    <row r="767" spans="30:35" ht="12.75">
      <c r="AD767" s="6"/>
      <c r="AH767" s="6"/>
      <c r="AI767" s="6"/>
    </row>
    <row r="768" spans="30:35" ht="12.75">
      <c r="AD768" s="6"/>
      <c r="AH768" s="6"/>
      <c r="AI768" s="6"/>
    </row>
    <row r="769" spans="30:35" ht="12.75">
      <c r="AD769" s="6"/>
      <c r="AH769" s="6"/>
      <c r="AI769" s="6"/>
    </row>
    <row r="770" spans="30:35" ht="12.75">
      <c r="AD770" s="6"/>
      <c r="AH770" s="6"/>
      <c r="AI770" s="6"/>
    </row>
    <row r="771" spans="30:35" ht="12.75">
      <c r="AD771" s="6"/>
      <c r="AH771" s="6"/>
      <c r="AI771" s="6"/>
    </row>
    <row r="772" spans="30:35" ht="12.75">
      <c r="AD772" s="6"/>
      <c r="AH772" s="6"/>
      <c r="AI772" s="6"/>
    </row>
    <row r="773" spans="30:35" ht="12.75">
      <c r="AD773" s="6"/>
      <c r="AH773" s="6"/>
      <c r="AI773" s="6"/>
    </row>
    <row r="774" spans="30:35" ht="12.75">
      <c r="AD774" s="6"/>
      <c r="AH774" s="6"/>
      <c r="AI774" s="6"/>
    </row>
    <row r="775" spans="30:35" ht="12.75">
      <c r="AD775" s="6"/>
      <c r="AH775" s="6"/>
      <c r="AI775" s="6"/>
    </row>
    <row r="776" spans="30:35" ht="12.75">
      <c r="AD776" s="6"/>
      <c r="AH776" s="6"/>
      <c r="AI776" s="6"/>
    </row>
    <row r="777" spans="30:35" ht="12.75">
      <c r="AD777" s="6"/>
      <c r="AH777" s="6"/>
      <c r="AI777" s="6"/>
    </row>
    <row r="778" spans="30:35" ht="12.75">
      <c r="AD778" s="6"/>
      <c r="AH778" s="6"/>
      <c r="AI778" s="6"/>
    </row>
    <row r="779" spans="30:35" ht="12.75">
      <c r="AD779" s="6"/>
      <c r="AH779" s="6"/>
      <c r="AI779" s="6"/>
    </row>
    <row r="780" spans="30:35" ht="12.75">
      <c r="AD780" s="6"/>
      <c r="AH780" s="6"/>
      <c r="AI780" s="6"/>
    </row>
    <row r="781" spans="30:35" ht="12.75">
      <c r="AD781" s="6"/>
      <c r="AH781" s="6"/>
      <c r="AI781" s="6"/>
    </row>
    <row r="782" spans="30:35" ht="12.75">
      <c r="AD782" s="6"/>
      <c r="AH782" s="6"/>
      <c r="AI782" s="6"/>
    </row>
    <row r="783" spans="30:35" ht="12.75">
      <c r="AD783" s="6"/>
      <c r="AH783" s="6"/>
      <c r="AI783" s="6"/>
    </row>
    <row r="784" spans="30:35" ht="12.75">
      <c r="AD784" s="6"/>
      <c r="AH784" s="6"/>
      <c r="AI784" s="6"/>
    </row>
    <row r="785" spans="30:35" ht="12.75">
      <c r="AD785" s="6"/>
      <c r="AH785" s="6"/>
      <c r="AI785" s="6"/>
    </row>
    <row r="786" spans="30:35" ht="12.75">
      <c r="AD786" s="6"/>
      <c r="AH786" s="6"/>
      <c r="AI786" s="6"/>
    </row>
    <row r="787" spans="30:35" ht="12.75">
      <c r="AD787" s="6"/>
      <c r="AH787" s="6"/>
      <c r="AI787" s="6"/>
    </row>
    <row r="788" spans="30:35" ht="12.75">
      <c r="AD788" s="6"/>
      <c r="AH788" s="6"/>
      <c r="AI788" s="6"/>
    </row>
    <row r="789" spans="30:35" ht="12.75">
      <c r="AD789" s="6"/>
      <c r="AH789" s="6"/>
      <c r="AI789" s="6"/>
    </row>
    <row r="790" spans="30:35" ht="12.75">
      <c r="AD790" s="6"/>
      <c r="AH790" s="6"/>
      <c r="AI790" s="6"/>
    </row>
  </sheetData>
  <mergeCells count="43">
    <mergeCell ref="C6:E6"/>
    <mergeCell ref="BL4:BR4"/>
    <mergeCell ref="AL5:AM5"/>
    <mergeCell ref="AZ5:BA5"/>
    <mergeCell ref="AL3:AM4"/>
    <mergeCell ref="AR3:AS4"/>
    <mergeCell ref="AN5:AO5"/>
    <mergeCell ref="AR5:AS5"/>
    <mergeCell ref="AN3:AO4"/>
    <mergeCell ref="AT5:AU5"/>
    <mergeCell ref="AT3:AU4"/>
    <mergeCell ref="BB3:BC4"/>
    <mergeCell ref="AZ3:BA4"/>
    <mergeCell ref="F7:G7"/>
    <mergeCell ref="I7:J7"/>
    <mergeCell ref="K4:K5"/>
    <mergeCell ref="AE3:AE5"/>
    <mergeCell ref="M3:N3"/>
    <mergeCell ref="O3:P3"/>
    <mergeCell ref="Q3:R3"/>
    <mergeCell ref="AP3:AQ4"/>
    <mergeCell ref="C4:E5"/>
    <mergeCell ref="F5:G5"/>
    <mergeCell ref="H4:H5"/>
    <mergeCell ref="I5:J5"/>
    <mergeCell ref="AP5:AQ5"/>
    <mergeCell ref="S3:T3"/>
    <mergeCell ref="U3:V3"/>
    <mergeCell ref="W3:X3"/>
    <mergeCell ref="AX5:AY5"/>
    <mergeCell ref="AV5:AW5"/>
    <mergeCell ref="BJ3:BK4"/>
    <mergeCell ref="AX3:AY4"/>
    <mergeCell ref="AV3:AW4"/>
    <mergeCell ref="BB5:BC5"/>
    <mergeCell ref="BF3:BG4"/>
    <mergeCell ref="BJ5:BK5"/>
    <mergeCell ref="BH5:BI5"/>
    <mergeCell ref="BD3:BE4"/>
    <mergeCell ref="BH3:BI4"/>
    <mergeCell ref="BD5:BE5"/>
    <mergeCell ref="BF5:BG5"/>
    <mergeCell ref="BL5:BR5"/>
  </mergeCells>
  <printOptions/>
  <pageMargins left="0.23" right="0.22" top="0.3" bottom="0.26" header="0.19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2023-12-28T04:10:19Z</cp:lastPrinted>
  <dcterms:created xsi:type="dcterms:W3CDTF">1996-10-08T23:32:33Z</dcterms:created>
  <dcterms:modified xsi:type="dcterms:W3CDTF">2024-02-06T03:25:46Z</dcterms:modified>
  <cp:category/>
  <cp:version/>
  <cp:contentType/>
  <cp:contentStatus/>
</cp:coreProperties>
</file>