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5" sheetId="1" r:id="rId1"/>
  </sheets>
  <definedNames/>
  <calcPr fullCalcOnLoad="1"/>
</workbook>
</file>

<file path=xl/sharedStrings.xml><?xml version="1.0" encoding="utf-8"?>
<sst xmlns="http://schemas.openxmlformats.org/spreadsheetml/2006/main" count="571" uniqueCount="497">
  <si>
    <t>общая</t>
  </si>
  <si>
    <t xml:space="preserve">Годовой </t>
  </si>
  <si>
    <t>Карпинск, пер.Герцена, д.12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</si>
  <si>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</si>
  <si>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</si>
  <si>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</si>
  <si>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</si>
  <si>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</si>
  <si>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</si>
  <si>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</si>
  <si>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</si>
  <si>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</si>
  <si>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</si>
  <si>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</si>
  <si>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</si>
  <si>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</si>
  <si>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</si>
  <si>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</si>
  <si>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</si>
  <si>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</si>
  <si>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</si>
  <si>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</si>
  <si>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</si>
  <si>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</si>
  <si>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</si>
  <si>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</si>
  <si>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</si>
  <si>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</si>
  <si>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</si>
  <si>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</si>
  <si>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</si>
  <si>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</si>
  <si>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</si>
  <si>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</si>
  <si>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</si>
  <si>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</si>
  <si>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ул.Заречная, д.4</t>
  </si>
  <si>
    <t>Карпинск, ул.Калинина, д.22</t>
  </si>
  <si>
    <t>Карпинск, ул.Калинина, д.28</t>
  </si>
  <si>
    <t>Карпинск, ул.Калинина, д.69, к.а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</si>
  <si>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</si>
  <si>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</si>
  <si>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</si>
  <si>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</si>
  <si>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</si>
  <si>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</si>
  <si>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</si>
  <si>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</si>
  <si>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</si>
  <si>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</si>
  <si>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</si>
  <si>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</si>
  <si>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</si>
  <si>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</si>
  <si>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</si>
  <si>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</si>
  <si>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</si>
  <si>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</si>
  <si>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</si>
  <si>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</si>
  <si>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</si>
  <si>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</si>
  <si>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</si>
  <si>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</si>
  <si>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</si>
  <si>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</si>
  <si>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</si>
  <si>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</si>
  <si>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</si>
  <si>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</si>
  <si>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</si>
  <si>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</si>
  <si>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д.101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</si>
  <si>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</si>
  <si>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</si>
  <si>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</si>
  <si>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</si>
  <si>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</si>
  <si>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</si>
  <si>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</si>
  <si>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</si>
  <si>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</si>
  <si>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</si>
  <si>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</si>
  <si>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</si>
  <si>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</si>
  <si>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</si>
  <si>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</si>
  <si>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</si>
  <si>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</si>
  <si>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</si>
  <si>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</si>
  <si>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</si>
  <si>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</si>
  <si>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</si>
  <si>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</si>
  <si>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</si>
  <si>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</si>
  <si>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</si>
  <si>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</si>
  <si>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</si>
  <si>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</si>
  <si>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</si>
  <si>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</si>
  <si>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</si>
  <si>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</si>
  <si>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</si>
  <si>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</si>
  <si>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</si>
  <si>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</si>
  <si>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</si>
  <si>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</si>
  <si>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</si>
  <si>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</si>
  <si>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</si>
  <si>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</si>
  <si>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</si>
  <si>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</si>
  <si>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</si>
  <si>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</si>
  <si>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д.16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</si>
  <si>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</si>
  <si>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</si>
  <si>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</si>
  <si>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</si>
  <si>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</si>
  <si>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</si>
  <si>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</si>
  <si>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</si>
  <si>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</si>
  <si>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</si>
  <si>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</si>
  <si>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</si>
  <si>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</si>
  <si>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</si>
  <si>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</si>
  <si>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</si>
  <si>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</si>
  <si>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</si>
  <si>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</si>
  <si>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</si>
  <si>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</si>
  <si>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</si>
  <si>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</si>
  <si>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</si>
  <si>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</si>
  <si>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</si>
  <si>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</si>
  <si>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</si>
  <si>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д.76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</si>
  <si>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</si>
  <si>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</si>
  <si>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</si>
  <si>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</si>
  <si>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</si>
  <si>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</si>
  <si>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</si>
  <si>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</si>
  <si>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</si>
  <si>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</si>
  <si>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</si>
  <si>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</si>
  <si>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</si>
  <si>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</si>
  <si>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</si>
  <si>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</si>
  <si>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</si>
  <si>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</si>
  <si>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</si>
  <si>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</si>
  <si>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</si>
  <si>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</si>
  <si>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</si>
  <si>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</si>
  <si>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</si>
  <si>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</si>
  <si>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</si>
  <si>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</si>
  <si>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</si>
  <si>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</si>
  <si>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</si>
  <si>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</si>
  <si>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</si>
  <si>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</si>
  <si>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</si>
  <si>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</si>
  <si>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</si>
  <si>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</si>
  <si>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</si>
  <si>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</si>
  <si>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</si>
  <si>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</si>
  <si>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</si>
  <si>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</si>
  <si>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</si>
  <si>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</si>
  <si>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</si>
  <si>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</si>
  <si>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</si>
  <si>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</si>
  <si>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</si>
  <si>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</si>
  <si>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</si>
  <si>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</si>
  <si>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</si>
  <si>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</si>
  <si>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</si>
  <si>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</si>
  <si>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</si>
  <si>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</si>
  <si>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</si>
  <si>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</si>
  <si>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</si>
  <si>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</si>
  <si>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</si>
  <si>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</si>
  <si>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</si>
  <si>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</si>
  <si>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</si>
  <si>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</si>
  <si>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</si>
  <si>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</si>
  <si>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</si>
  <si>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</si>
  <si>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</si>
  <si>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</si>
  <si>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</si>
  <si>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</si>
  <si>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д.95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</si>
  <si>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</si>
  <si>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</si>
  <si>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</si>
  <si>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</si>
  <si>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</si>
  <si>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ул.Октябрьская, д.12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</si>
  <si>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</si>
  <si>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</si>
  <si>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</si>
  <si>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</si>
  <si>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д.14</t>
  </si>
  <si>
    <t>с учетом долга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</si>
  <si>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</si>
  <si>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</si>
  <si>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</si>
  <si>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</si>
  <si>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</si>
  <si>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</si>
  <si>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</si>
  <si>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</si>
  <si>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</si>
  <si>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</si>
  <si>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</si>
  <si>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</si>
  <si>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д.16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</si>
  <si>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</si>
  <si>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</si>
  <si>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</si>
  <si>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</si>
  <si>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</si>
  <si>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</si>
  <si>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</si>
  <si>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</si>
  <si>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</si>
  <si>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</si>
  <si>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</si>
  <si>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</si>
  <si>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</si>
  <si>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ул.Свободы, д.73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</si>
  <si>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</si>
  <si>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</si>
  <si>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</si>
  <si>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</si>
  <si>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</si>
  <si>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</si>
  <si>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</si>
  <si>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</si>
  <si>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</si>
  <si>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</si>
  <si>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</si>
  <si>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</si>
  <si>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</si>
  <si>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</si>
  <si>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</si>
  <si>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</si>
  <si>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</si>
  <si>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</si>
  <si>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</si>
  <si>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</si>
  <si>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</si>
  <si>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</si>
  <si>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</si>
  <si>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</si>
  <si>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</si>
  <si>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</si>
  <si>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</si>
  <si>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АВАРИЙНЫЙ ЖИЛОЙ ФОНД</t>
  </si>
  <si>
    <t>Карпинск, пер.Герцена, д.1</t>
  </si>
  <si>
    <t>Карпинск, пер.Герцена, д.10</t>
  </si>
  <si>
    <t>Карпинск, пер.Герцена, д.3</t>
  </si>
  <si>
    <t>Карпинск, пер.Школьный, д.2</t>
  </si>
  <si>
    <t>Карпинск, пер.Школьный, д.4</t>
  </si>
  <si>
    <t>Карпинск, пер.Школьный, д.6</t>
  </si>
  <si>
    <t>Карпинск, прое.Нахимова, д.15</t>
  </si>
  <si>
    <t>Карпинск, прое.Нахимова, д.15, к.а</t>
  </si>
  <si>
    <t>Карпинск, прое.Нахимова, д.17</t>
  </si>
  <si>
    <t>Карпинск, прое.Нахимова, д.17, к.а</t>
  </si>
  <si>
    <t>Карпинск, прое.Нахимова, д.19</t>
  </si>
  <si>
    <t>Карпинск, ул.Белинского, д.93, к.а</t>
  </si>
  <si>
    <t>Карпинск, ул.Карла Маркса, д.18</t>
  </si>
  <si>
    <t>Карпинск, ул.Карла Маркса, д.20</t>
  </si>
  <si>
    <t>Карпинск, ул.Колхозная, д.47</t>
  </si>
  <si>
    <t>Карпинск, ул.Колхозная, д.49</t>
  </si>
  <si>
    <t>Карпинск, ул.Ленина, д.104</t>
  </si>
  <si>
    <t>Карпинск, ул.Ленина, д.106</t>
  </si>
  <si>
    <t>Карпинск, ул.Ленина, д.127</t>
  </si>
  <si>
    <t>Карпинск, ул.Ленина, д.131</t>
  </si>
  <si>
    <t>Карпинск, ул.Ленина, д.44</t>
  </si>
  <si>
    <t>Карпинск, ул.Ленина, д.48</t>
  </si>
  <si>
    <t>Карпинск, ул.Ленина, д.90, к.а</t>
  </si>
  <si>
    <t>Карпинск, ул.Ленина, д.92</t>
  </si>
  <si>
    <t>Карпинск, ул.Ленина, д.92, к.а</t>
  </si>
  <si>
    <t>Карпинск, ул.Ленина, д.94</t>
  </si>
  <si>
    <t>Карпинск, ул.Ленина, д.94, к.а</t>
  </si>
  <si>
    <t>Карпинск, ул.Ленина, д.96</t>
  </si>
  <si>
    <t>Карпинск, ул.Лермонтова, д.2</t>
  </si>
  <si>
    <t>Карпинск, ул.Лермонтова, д.6</t>
  </si>
  <si>
    <t>Карпинск, ул.Лесопильная, д.65</t>
  </si>
  <si>
    <t>Карпинск, ул.Лесопильная, д.8</t>
  </si>
  <si>
    <t>Карпинск, ул.Луначарского, д.102</t>
  </si>
  <si>
    <t>Карпинск, ул.Луначарского, д.104</t>
  </si>
  <si>
    <t>Карпинск, ул.Луначарского, д.106</t>
  </si>
  <si>
    <t>Карпинск, ул.Луначарского, д.36</t>
  </si>
  <si>
    <t>Карпинск, ул.Луначарского, д.69</t>
  </si>
  <si>
    <t>Карпинск, ул.Луначарского, д.73</t>
  </si>
  <si>
    <t>Карпинск, ул.Луначарского, д.87</t>
  </si>
  <si>
    <t>Карпинск, ул.Луначарского, д.89</t>
  </si>
  <si>
    <t>Карпинск, ул.Луначарского, д.91</t>
  </si>
  <si>
    <t>Карпинск, ул.Луначарского, д.93</t>
  </si>
  <si>
    <t>Карпинск, ул.Максима Горького, д.1</t>
  </si>
  <si>
    <t>Карпинск, ул.Максима Горького, д.7</t>
  </si>
  <si>
    <t>Карпинск, ул.Максима Горького, д.10</t>
  </si>
  <si>
    <t>Карпинск, ул.Максима Горького, д.3</t>
  </si>
  <si>
    <t>Карпинск, ул.Максима Горького, д.5</t>
  </si>
  <si>
    <t>Карпинск, ул.Мира, д.26</t>
  </si>
  <si>
    <t>Карпинск, ул.Осипенко, д.47</t>
  </si>
  <si>
    <t>Карпинск, ул.Осипенко, д.48</t>
  </si>
  <si>
    <t>Карпинск, ул.Осипенко, д.49</t>
  </si>
  <si>
    <t>Карпинск, ул.Попова, д.11</t>
  </si>
  <si>
    <t>Карпинск, ул.Попова, д.3</t>
  </si>
  <si>
    <t>Карпинск, ул.Попова, д.5</t>
  </si>
  <si>
    <t>Карпинск, ул.Попова, д.9</t>
  </si>
  <si>
    <t>Карпинск, ул.Пушкина, д.5</t>
  </si>
  <si>
    <t>Карпинск, ул.Чернышевского, д.2</t>
  </si>
  <si>
    <t>Карпинск, ул.Чернышевского, д.4</t>
  </si>
  <si>
    <t>Карпинск, ул.Чернышевского, д.6</t>
  </si>
  <si>
    <t>Карпинск, ул.Южная 2-ая, д.1, к.а</t>
  </si>
  <si>
    <t>№</t>
  </si>
  <si>
    <t>п/п</t>
  </si>
  <si>
    <t>т/рем.</t>
  </si>
  <si>
    <t>содерж.</t>
  </si>
  <si>
    <t>тариф</t>
  </si>
  <si>
    <t>долг 2014год</t>
  </si>
  <si>
    <t>Железнодорожный,  д.9</t>
  </si>
  <si>
    <t>жилые</t>
  </si>
  <si>
    <t>нежилые</t>
  </si>
  <si>
    <t>адрес</t>
  </si>
  <si>
    <t>итого:</t>
  </si>
  <si>
    <t>ВСЕГО:</t>
  </si>
  <si>
    <t>1 полугодие</t>
  </si>
  <si>
    <t>общий</t>
  </si>
  <si>
    <t>план на 1 пол</t>
  </si>
  <si>
    <t>2 полугодие</t>
  </si>
  <si>
    <t>годовой план</t>
  </si>
  <si>
    <t>остаток ср-в</t>
  </si>
  <si>
    <t>за 2013год</t>
  </si>
  <si>
    <t>с корректиров.</t>
  </si>
  <si>
    <t>долга и ср-в 2013</t>
  </si>
  <si>
    <t>план на 2 пол</t>
  </si>
  <si>
    <t>_____________________Пильников А.Ю.</t>
  </si>
  <si>
    <t>Генеральный директор ООО "УК "ДОМ"</t>
  </si>
  <si>
    <t xml:space="preserve">Согласовано: </t>
  </si>
  <si>
    <t>Генеральный директор ООО "ПК" Жилкомсервис"</t>
  </si>
  <si>
    <t>_______________________Бидонько Ю.Г.</t>
  </si>
  <si>
    <t>по тарифу</t>
  </si>
  <si>
    <t xml:space="preserve">план </t>
  </si>
  <si>
    <t>янв.</t>
  </si>
  <si>
    <t>фев.</t>
  </si>
  <si>
    <t>март</t>
  </si>
  <si>
    <t>апр.</t>
  </si>
  <si>
    <t>май</t>
  </si>
  <si>
    <t>июнь</t>
  </si>
  <si>
    <t>июль</t>
  </si>
  <si>
    <t>август</t>
  </si>
  <si>
    <t>сентябрь</t>
  </si>
  <si>
    <t>октябрь</t>
  </si>
  <si>
    <t>На домах исключена работа дворника</t>
  </si>
  <si>
    <t>ноябрь</t>
  </si>
  <si>
    <t>декабрь</t>
  </si>
  <si>
    <t>работы</t>
  </si>
  <si>
    <t>организ.</t>
  </si>
  <si>
    <t>сторон.</t>
  </si>
  <si>
    <t>остаток</t>
  </si>
  <si>
    <t>Площадь</t>
  </si>
  <si>
    <t>Годовой план 2015</t>
  </si>
  <si>
    <t>Годовой отчет 2015</t>
  </si>
  <si>
    <t>( по месяцам)</t>
  </si>
  <si>
    <t>за счет долга 2014года</t>
  </si>
  <si>
    <t>2015год</t>
  </si>
  <si>
    <t>Работы</t>
  </si>
  <si>
    <t>силами</t>
  </si>
  <si>
    <t>жильцов</t>
  </si>
  <si>
    <t>Карпинск, ул.Мира, д.30</t>
  </si>
  <si>
    <t>Карпинск, ул.Советская, д.113/2</t>
  </si>
  <si>
    <t>Карпинск, ул.Советская, д.113/3</t>
  </si>
  <si>
    <t>Выполн.</t>
  </si>
  <si>
    <t>01.-12.10</t>
  </si>
  <si>
    <t>Выполн</t>
  </si>
  <si>
    <t>ЖЭУ</t>
  </si>
  <si>
    <t>ПК ЖКС</t>
  </si>
  <si>
    <t>ян.-окт.</t>
  </si>
  <si>
    <t>01.01.-12.10.</t>
  </si>
  <si>
    <t>13.10.-31.12.</t>
  </si>
  <si>
    <t>Выполнено</t>
  </si>
  <si>
    <t>01.01.-31.12.</t>
  </si>
  <si>
    <t>Доходы</t>
  </si>
  <si>
    <t>от аренды</t>
  </si>
  <si>
    <t>подвалов</t>
  </si>
  <si>
    <t>ВСЕГО</t>
  </si>
  <si>
    <t>освоено</t>
  </si>
  <si>
    <t>окт</t>
  </si>
  <si>
    <t>ЖКО</t>
  </si>
  <si>
    <t>остаток 2014года</t>
  </si>
  <si>
    <t>остаток 2013года</t>
  </si>
  <si>
    <t>с учетом убытков по электроэнергии</t>
  </si>
  <si>
    <t xml:space="preserve">В декабре исключили работы на Мира, 76(фев.2052,44;июнь 12390,75; июль 25967,43; сент 6810,21) в сумме 47220,83руб. </t>
  </si>
  <si>
    <t>Карпинск, ул.Советская, д.113/1</t>
  </si>
  <si>
    <t>13.10.-31.10.</t>
  </si>
  <si>
    <t>дек.</t>
  </si>
  <si>
    <t>жэу</t>
  </si>
  <si>
    <t>жко</t>
  </si>
  <si>
    <t>по отчетам</t>
  </si>
  <si>
    <t>октябрь-дек.</t>
  </si>
  <si>
    <t>Карпинск, ул.Максима Горького, д.14а</t>
  </si>
  <si>
    <t>на 01.01.16.</t>
  </si>
  <si>
    <t>кор-ка плана 2016</t>
  </si>
  <si>
    <t>2015гг.</t>
  </si>
  <si>
    <t>с учетом 2013, 2014,</t>
  </si>
  <si>
    <t>по 31.12.15.</t>
  </si>
  <si>
    <t>с 01.01.09.</t>
  </si>
  <si>
    <t>01.07.</t>
  </si>
  <si>
    <t>Карпинск, ул.Мира, д.5(искл.01.07.15.)</t>
  </si>
  <si>
    <t>Карпинск, ул.Мира, д.7(искл. 01.07.15)</t>
  </si>
  <si>
    <t>Карпинск, ул.8 Марта, д.36искл. 01.07.)</t>
  </si>
  <si>
    <t>Карпинск, ул.8 Марта, д.38 искл. 01.07.)</t>
  </si>
  <si>
    <t>Карпинск, ул.Мира, д.16 (01.06.15)</t>
  </si>
  <si>
    <t>Карпинск, ул.Мира, д.18 (01.06.15)</t>
  </si>
  <si>
    <t>Карпинск, ул.Белинского, д.101(01.06)</t>
  </si>
  <si>
    <t>Карпинск, ул.Октябрьская, д.1(01.04)</t>
  </si>
  <si>
    <t>Карпинск, ул.Октябрьская, д.9(01.04)</t>
  </si>
  <si>
    <t>Карпинск, ул.Заречная, д.2 (01.04)</t>
  </si>
  <si>
    <t>Карпинск, ул.Лермонтова, д.15(01.04)</t>
  </si>
  <si>
    <t>Карпинск, ул.Луначарского, д.75(01.04)</t>
  </si>
  <si>
    <t>Карпинск, ул.Мира, д.20(01.06.15)</t>
  </si>
  <si>
    <t xml:space="preserve">Лезовой  к акту ПК "ЖКС" 39440004,66 руб. </t>
  </si>
  <si>
    <t>1.</t>
  </si>
  <si>
    <t xml:space="preserve">2. </t>
  </si>
  <si>
    <t>Лезовой</t>
  </si>
  <si>
    <t>предъявили</t>
  </si>
  <si>
    <t>откорректировать</t>
  </si>
  <si>
    <t>дополн. включить</t>
  </si>
  <si>
    <t>по факту</t>
  </si>
  <si>
    <t>долг на 01.12.15.</t>
  </si>
  <si>
    <t>Карпинск, ул.Лермонтова, д.4(01.12.15)</t>
  </si>
  <si>
    <t>по оплате</t>
  </si>
  <si>
    <t>остаток по начис.</t>
  </si>
  <si>
    <t>Остаток</t>
  </si>
  <si>
    <t>(неиспольз ср-ва</t>
  </si>
  <si>
    <t>за обслуж. ОПУ)</t>
  </si>
  <si>
    <t>за 2015год</t>
  </si>
  <si>
    <t>Выполнены</t>
  </si>
  <si>
    <t xml:space="preserve">стронними </t>
  </si>
  <si>
    <t>организациями</t>
  </si>
  <si>
    <t>в 2016году</t>
  </si>
  <si>
    <t>в счет остатка2015</t>
  </si>
  <si>
    <t>своими силами</t>
  </si>
  <si>
    <t>датчики движения</t>
  </si>
  <si>
    <t>перерасход 2016</t>
  </si>
  <si>
    <t>1кварт.</t>
  </si>
  <si>
    <t>3кварт.</t>
  </si>
  <si>
    <t>2квар.</t>
  </si>
  <si>
    <t>4квар.жко</t>
  </si>
  <si>
    <t>4квар.жэу</t>
  </si>
  <si>
    <t>поверка ОПУ 2016</t>
  </si>
  <si>
    <t>поверка ОПУ</t>
  </si>
  <si>
    <t>на текущий момент</t>
  </si>
  <si>
    <t>НДС</t>
  </si>
  <si>
    <t>с учетом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</si>
</sst>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</numFmts>
  <fonts count="3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16" borderId="10" xfId="0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1" fillId="0" borderId="10" xfId="0" applyNumberFormat="1" applyFont="1" applyBorder="1" applyAlignment="1">
      <alignment/>
    </xf>
    <xf numFmtId="2" fontId="1" fillId="16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16" borderId="10" xfId="0" applyNumberForma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18" borderId="10" xfId="0" applyNumberFormat="1" applyFill="1" applyBorder="1" applyAlignment="1">
      <alignment/>
    </xf>
    <xf numFmtId="2" fontId="4" fillId="18" borderId="10" xfId="0" applyNumberFormat="1" applyFont="1" applyFill="1" applyBorder="1" applyAlignment="1">
      <alignment/>
    </xf>
    <xf numFmtId="2" fontId="0" fillId="16" borderId="10" xfId="0" applyNumberFormat="1" applyFill="1" applyBorder="1" applyAlignment="1">
      <alignment/>
    </xf>
    <xf numFmtId="2" fontId="4" fillId="16" borderId="1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18" borderId="15" xfId="0" applyFill="1" applyBorder="1" applyAlignment="1">
      <alignment/>
    </xf>
    <xf numFmtId="0" fontId="0" fillId="0" borderId="17" xfId="0" applyBorder="1" applyAlignment="1">
      <alignment/>
    </xf>
    <xf numFmtId="2" fontId="2" fillId="16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18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6" borderId="18" xfId="0" applyFill="1" applyBorder="1" applyAlignment="1">
      <alignment/>
    </xf>
    <xf numFmtId="0" fontId="23" fillId="16" borderId="18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4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2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2" fontId="4" fillId="17" borderId="10" xfId="0" applyNumberFormat="1" applyFont="1" applyFill="1" applyBorder="1" applyAlignment="1">
      <alignment/>
    </xf>
    <xf numFmtId="2" fontId="1" fillId="17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19" borderId="11" xfId="0" applyFill="1" applyBorder="1" applyAlignment="1">
      <alignment/>
    </xf>
    <xf numFmtId="0" fontId="0" fillId="19" borderId="18" xfId="0" applyFill="1" applyBorder="1" applyAlignment="1">
      <alignment/>
    </xf>
    <xf numFmtId="0" fontId="23" fillId="19" borderId="18" xfId="0" applyFont="1" applyFill="1" applyBorder="1" applyAlignment="1">
      <alignment/>
    </xf>
    <xf numFmtId="0" fontId="1" fillId="19" borderId="18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0" xfId="0" applyFill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4" xfId="0" applyFont="1" applyFill="1" applyBorder="1" applyAlignment="1">
      <alignment/>
    </xf>
    <xf numFmtId="0" fontId="1" fillId="16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0" fillId="6" borderId="10" xfId="0" applyFill="1" applyBorder="1" applyAlignment="1">
      <alignment/>
    </xf>
    <xf numFmtId="0" fontId="5" fillId="0" borderId="14" xfId="0" applyFont="1" applyBorder="1" applyAlignment="1">
      <alignment/>
    </xf>
    <xf numFmtId="0" fontId="0" fillId="16" borderId="13" xfId="0" applyFill="1" applyBorder="1" applyAlignment="1">
      <alignment/>
    </xf>
    <xf numFmtId="0" fontId="0" fillId="16" borderId="15" xfId="0" applyFill="1" applyBorder="1" applyAlignment="1">
      <alignment/>
    </xf>
    <xf numFmtId="0" fontId="5" fillId="16" borderId="14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0" fillId="16" borderId="14" xfId="0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0" xfId="0" applyNumberFormat="1" applyAlignment="1">
      <alignment/>
    </xf>
    <xf numFmtId="0" fontId="0" fillId="18" borderId="0" xfId="0" applyFill="1" applyAlignment="1">
      <alignment/>
    </xf>
    <xf numFmtId="0" fontId="0" fillId="8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/>
    </xf>
    <xf numFmtId="0" fontId="0" fillId="6" borderId="13" xfId="0" applyFill="1" applyBorder="1" applyAlignment="1">
      <alignment/>
    </xf>
    <xf numFmtId="0" fontId="0" fillId="6" borderId="15" xfId="0" applyFill="1" applyBorder="1" applyAlignment="1">
      <alignment/>
    </xf>
    <xf numFmtId="0" fontId="5" fillId="6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3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2" fontId="0" fillId="2" borderId="11" xfId="0" applyNumberFormat="1" applyFill="1" applyBorder="1" applyAlignment="1">
      <alignment/>
    </xf>
    <xf numFmtId="2" fontId="0" fillId="20" borderId="10" xfId="0" applyNumberFormat="1" applyFill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32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0" fontId="33" fillId="17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33" fillId="17" borderId="11" xfId="0" applyNumberFormat="1" applyFont="1" applyFill="1" applyBorder="1" applyAlignment="1">
      <alignment/>
    </xf>
    <xf numFmtId="2" fontId="2" fillId="16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33" fillId="17" borderId="10" xfId="0" applyNumberFormat="1" applyFont="1" applyFill="1" applyBorder="1" applyAlignment="1">
      <alignment/>
    </xf>
    <xf numFmtId="0" fontId="1" fillId="19" borderId="13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2" fontId="0" fillId="20" borderId="11" xfId="0" applyNumberFormat="1" applyFill="1" applyBorder="1" applyAlignment="1">
      <alignment/>
    </xf>
    <xf numFmtId="0" fontId="0" fillId="20" borderId="0" xfId="0" applyFill="1" applyBorder="1" applyAlignment="1">
      <alignment/>
    </xf>
    <xf numFmtId="2" fontId="0" fillId="19" borderId="11" xfId="0" applyNumberFormat="1" applyFill="1" applyBorder="1" applyAlignment="1">
      <alignment/>
    </xf>
    <xf numFmtId="2" fontId="0" fillId="19" borderId="10" xfId="0" applyNumberFormat="1" applyFill="1" applyBorder="1" applyAlignment="1">
      <alignment/>
    </xf>
    <xf numFmtId="0" fontId="0" fillId="19" borderId="0" xfId="0" applyFill="1" applyBorder="1" applyAlignment="1">
      <alignment/>
    </xf>
    <xf numFmtId="0" fontId="33" fillId="0" borderId="11" xfId="0" applyNumberFormat="1" applyFont="1" applyFill="1" applyBorder="1" applyAlignment="1">
      <alignment/>
    </xf>
    <xf numFmtId="170" fontId="0" fillId="0" borderId="0" xfId="43" applyAlignment="1">
      <alignment/>
    </xf>
    <xf numFmtId="170" fontId="0" fillId="19" borderId="18" xfId="43" applyFill="1" applyBorder="1" applyAlignment="1">
      <alignment/>
    </xf>
    <xf numFmtId="170" fontId="0" fillId="16" borderId="13" xfId="43" applyFill="1" applyBorder="1" applyAlignment="1">
      <alignment/>
    </xf>
    <xf numFmtId="170" fontId="0" fillId="16" borderId="15" xfId="43" applyFill="1" applyBorder="1" applyAlignment="1">
      <alignment/>
    </xf>
    <xf numFmtId="170" fontId="5" fillId="16" borderId="14" xfId="43" applyFont="1" applyFill="1" applyBorder="1" applyAlignment="1">
      <alignment/>
    </xf>
    <xf numFmtId="170" fontId="0" fillId="0" borderId="10" xfId="43" applyBorder="1" applyAlignment="1">
      <alignment/>
    </xf>
    <xf numFmtId="170" fontId="25" fillId="0" borderId="0" xfId="43" applyFont="1" applyAlignment="1">
      <alignment/>
    </xf>
    <xf numFmtId="170" fontId="29" fillId="0" borderId="0" xfId="43" applyFont="1" applyAlignment="1">
      <alignment/>
    </xf>
    <xf numFmtId="170" fontId="0" fillId="0" borderId="0" xfId="43" applyBorder="1" applyAlignment="1">
      <alignment/>
    </xf>
    <xf numFmtId="2" fontId="34" fillId="0" borderId="10" xfId="0" applyNumberFormat="1" applyFont="1" applyBorder="1" applyAlignment="1">
      <alignment/>
    </xf>
    <xf numFmtId="0" fontId="0" fillId="8" borderId="0" xfId="0" applyFill="1" applyBorder="1" applyAlignment="1">
      <alignment/>
    </xf>
    <xf numFmtId="2" fontId="0" fillId="18" borderId="11" xfId="0" applyNumberFormat="1" applyFill="1" applyBorder="1" applyAlignment="1">
      <alignment/>
    </xf>
    <xf numFmtId="2" fontId="0" fillId="8" borderId="11" xfId="0" applyNumberFormat="1" applyFill="1" applyBorder="1" applyAlignment="1">
      <alignment/>
    </xf>
    <xf numFmtId="0" fontId="0" fillId="20" borderId="0" xfId="0" applyFill="1" applyAlignment="1">
      <alignment/>
    </xf>
    <xf numFmtId="0" fontId="0" fillId="8" borderId="0" xfId="0" applyFill="1" applyAlignment="1">
      <alignment/>
    </xf>
    <xf numFmtId="2" fontId="0" fillId="0" borderId="10" xfId="43" applyNumberFormat="1" applyBorder="1" applyAlignment="1">
      <alignment/>
    </xf>
    <xf numFmtId="0" fontId="0" fillId="0" borderId="0" xfId="0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15" xfId="0" applyFont="1" applyFill="1" applyBorder="1" applyAlignment="1">
      <alignment horizontal="center"/>
    </xf>
    <xf numFmtId="0" fontId="1" fillId="8" borderId="14" xfId="0" applyFont="1" applyFill="1" applyBorder="1" applyAlignment="1">
      <alignment/>
    </xf>
    <xf numFmtId="2" fontId="1" fillId="8" borderId="11" xfId="0" applyNumberFormat="1" applyFont="1" applyFill="1" applyBorder="1" applyAlignment="1">
      <alignment/>
    </xf>
    <xf numFmtId="2" fontId="2" fillId="8" borderId="11" xfId="0" applyNumberFormat="1" applyFont="1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0" fontId="0" fillId="18" borderId="18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4"/>
  <sheetViews>
    <sheetView tabSelected="1" zoomScalePageLayoutView="0" workbookViewId="0" topLeftCell="A1">
      <pane xSplit="2" ySplit="11" topLeftCell="AT38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Z390" sqref="AZ390"/>
    </sheetView>
  </sheetViews>
  <sheetFormatPr defaultColWidth="9.140625" defaultRowHeight="12.75"/>
  <cols>
    <col min="1" max="1" width="4.7109375" style="0" customWidth="1"/>
    <col min="2" max="2" width="35.421875" style="0" customWidth="1"/>
    <col min="3" max="3" width="14.421875" style="0" customWidth="1"/>
    <col min="4" max="4" width="12.00390625" style="0" customWidth="1"/>
    <col min="5" max="5" width="12.8515625" style="0" customWidth="1"/>
    <col min="9" max="9" width="13.00390625" style="0" customWidth="1"/>
    <col min="13" max="13" width="12.421875" style="0" customWidth="1"/>
    <col min="14" max="14" width="11.8515625" style="0" customWidth="1"/>
    <col min="15" max="16" width="12.421875" style="0" customWidth="1"/>
    <col min="17" max="17" width="14.57421875" style="0" customWidth="1"/>
    <col min="18" max="18" width="16.57421875" style="0" customWidth="1"/>
    <col min="19" max="19" width="10.57421875" style="0" customWidth="1"/>
    <col min="20" max="21" width="12.57421875" style="0" customWidth="1"/>
    <col min="22" max="22" width="10.8515625" style="0" customWidth="1"/>
    <col min="23" max="23" width="11.00390625" style="0" customWidth="1"/>
    <col min="24" max="24" width="11.28125" style="0" customWidth="1"/>
    <col min="25" max="25" width="10.7109375" style="0" customWidth="1"/>
    <col min="26" max="26" width="11.8515625" style="0" customWidth="1"/>
    <col min="27" max="27" width="13.421875" style="0" customWidth="1"/>
    <col min="28" max="28" width="11.7109375" style="0" customWidth="1"/>
    <col min="29" max="29" width="15.140625" style="150" customWidth="1"/>
    <col min="30" max="30" width="12.140625" style="0" customWidth="1"/>
    <col min="31" max="31" width="16.8515625" style="0" customWidth="1"/>
    <col min="32" max="35" width="13.28125" style="0" customWidth="1"/>
    <col min="36" max="36" width="12.140625" style="0" customWidth="1"/>
    <col min="37" max="37" width="13.28125" style="0" customWidth="1"/>
    <col min="38" max="38" width="16.421875" style="0" customWidth="1"/>
    <col min="39" max="40" width="12.140625" style="0" customWidth="1"/>
    <col min="41" max="41" width="13.7109375" style="0" customWidth="1"/>
    <col min="42" max="42" width="14.140625" style="0" customWidth="1"/>
    <col min="43" max="43" width="17.00390625" style="0" customWidth="1"/>
    <col min="44" max="44" width="16.8515625" style="0" customWidth="1"/>
    <col min="45" max="49" width="18.421875" style="0" customWidth="1"/>
    <col min="50" max="50" width="19.7109375" style="0" customWidth="1"/>
    <col min="51" max="51" width="12.421875" style="0" customWidth="1"/>
    <col min="52" max="52" width="20.8515625" style="0" customWidth="1"/>
    <col min="53" max="53" width="18.421875" style="0" customWidth="1"/>
  </cols>
  <sheetData>
    <row r="1" spans="2:53" ht="12.75">
      <c r="B1" t="s">
        <v>380</v>
      </c>
      <c r="O1" s="179" t="s">
        <v>380</v>
      </c>
      <c r="P1" s="179"/>
      <c r="Q1" s="179"/>
      <c r="R1" s="179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2:53" ht="12.75">
      <c r="B2" t="s">
        <v>379</v>
      </c>
      <c r="O2" s="179" t="s">
        <v>381</v>
      </c>
      <c r="P2" s="179"/>
      <c r="Q2" s="179"/>
      <c r="R2" s="179"/>
      <c r="AN2" s="164" t="s">
        <v>493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2:53" ht="12.75">
      <c r="B3" t="s">
        <v>378</v>
      </c>
      <c r="O3" s="179" t="s">
        <v>382</v>
      </c>
      <c r="P3" s="179"/>
      <c r="Q3" s="179"/>
      <c r="R3" s="179"/>
      <c r="AR3" s="48"/>
      <c r="AS3" s="48"/>
      <c r="AT3" s="48"/>
      <c r="AU3" s="48"/>
      <c r="AV3" s="145" t="s">
        <v>485</v>
      </c>
      <c r="AW3" s="48"/>
      <c r="AX3" s="148" t="s">
        <v>486</v>
      </c>
      <c r="AY3" s="166"/>
      <c r="AZ3" s="166"/>
      <c r="BA3" s="48"/>
    </row>
    <row r="4" spans="15:53" ht="12.75">
      <c r="O4" s="46"/>
      <c r="P4" s="46"/>
      <c r="Q4" s="46"/>
      <c r="R4" s="46"/>
      <c r="AK4" t="s">
        <v>419</v>
      </c>
      <c r="AL4" t="s">
        <v>441</v>
      </c>
      <c r="AM4" t="s">
        <v>419</v>
      </c>
      <c r="AN4" t="s">
        <v>441</v>
      </c>
      <c r="AR4" s="48"/>
      <c r="AS4" s="48"/>
      <c r="AT4" s="48"/>
      <c r="AU4" s="48"/>
      <c r="AV4" s="160" t="s">
        <v>492</v>
      </c>
      <c r="AW4" s="48"/>
      <c r="AX4" s="48"/>
      <c r="AY4" s="48"/>
      <c r="AZ4" s="48"/>
      <c r="BA4" s="48"/>
    </row>
    <row r="5" spans="1:53" ht="18">
      <c r="A5" s="13"/>
      <c r="B5" s="13"/>
      <c r="C5" s="9"/>
      <c r="D5" s="51"/>
      <c r="E5" s="52"/>
      <c r="F5" s="55"/>
      <c r="G5" s="55"/>
      <c r="H5" s="55"/>
      <c r="I5" s="56" t="s">
        <v>403</v>
      </c>
      <c r="J5" s="55"/>
      <c r="K5" s="55"/>
      <c r="L5" s="55"/>
      <c r="M5" s="55"/>
      <c r="N5" s="55"/>
      <c r="O5" s="55"/>
      <c r="P5" s="55"/>
      <c r="Q5" s="55"/>
      <c r="R5" s="57"/>
      <c r="S5" s="67"/>
      <c r="T5" s="68"/>
      <c r="U5" s="68"/>
      <c r="V5" s="69" t="s">
        <v>404</v>
      </c>
      <c r="W5" s="68"/>
      <c r="X5" s="68"/>
      <c r="Y5" s="70" t="s">
        <v>405</v>
      </c>
      <c r="Z5" s="68"/>
      <c r="AA5" s="68"/>
      <c r="AB5" s="68"/>
      <c r="AC5" s="151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71"/>
      <c r="AQ5" s="96"/>
      <c r="AR5" s="112"/>
      <c r="AS5" s="92"/>
      <c r="AT5" s="92"/>
      <c r="AU5" s="92"/>
      <c r="AV5" s="92"/>
      <c r="AW5" s="92"/>
      <c r="AX5" s="92"/>
      <c r="AY5" s="92"/>
      <c r="AZ5" s="92"/>
      <c r="BA5" s="92"/>
    </row>
    <row r="6" spans="1:53" ht="12.75">
      <c r="A6" s="15"/>
      <c r="B6" s="15"/>
      <c r="C6" s="32"/>
      <c r="D6" s="53" t="s">
        <v>402</v>
      </c>
      <c r="E6" s="54"/>
      <c r="F6" s="176" t="s">
        <v>368</v>
      </c>
      <c r="G6" s="176"/>
      <c r="H6" s="176"/>
      <c r="I6" s="50"/>
      <c r="J6" s="177" t="s">
        <v>371</v>
      </c>
      <c r="K6" s="177"/>
      <c r="L6" s="178"/>
      <c r="M6" s="58"/>
      <c r="N6" s="44" t="s">
        <v>1</v>
      </c>
      <c r="O6" s="33" t="s">
        <v>361</v>
      </c>
      <c r="P6" s="44" t="s">
        <v>373</v>
      </c>
      <c r="Q6" s="43" t="s">
        <v>372</v>
      </c>
      <c r="R6" s="76" t="s">
        <v>372</v>
      </c>
      <c r="S6" s="13" t="s">
        <v>385</v>
      </c>
      <c r="T6" s="13" t="s">
        <v>386</v>
      </c>
      <c r="U6" s="13" t="s">
        <v>387</v>
      </c>
      <c r="V6" s="13" t="s">
        <v>388</v>
      </c>
      <c r="W6" s="13" t="s">
        <v>389</v>
      </c>
      <c r="X6" s="13" t="s">
        <v>390</v>
      </c>
      <c r="Y6" s="13" t="s">
        <v>391</v>
      </c>
      <c r="Z6" s="13" t="s">
        <v>392</v>
      </c>
      <c r="AA6" s="13" t="s">
        <v>393</v>
      </c>
      <c r="AB6" s="13" t="s">
        <v>394</v>
      </c>
      <c r="AC6" s="152" t="s">
        <v>414</v>
      </c>
      <c r="AD6" s="98" t="s">
        <v>416</v>
      </c>
      <c r="AE6" s="13" t="s">
        <v>416</v>
      </c>
      <c r="AF6" s="98" t="s">
        <v>416</v>
      </c>
      <c r="AG6" s="13" t="s">
        <v>416</v>
      </c>
      <c r="AH6" s="98" t="s">
        <v>416</v>
      </c>
      <c r="AI6" s="13" t="s">
        <v>416</v>
      </c>
      <c r="AJ6" s="86" t="s">
        <v>422</v>
      </c>
      <c r="AK6" s="13" t="s">
        <v>408</v>
      </c>
      <c r="AL6" s="13" t="s">
        <v>408</v>
      </c>
      <c r="AM6" s="13" t="s">
        <v>398</v>
      </c>
      <c r="AN6" s="13" t="s">
        <v>398</v>
      </c>
      <c r="AO6" s="86" t="s">
        <v>427</v>
      </c>
      <c r="AP6" s="72" t="s">
        <v>401</v>
      </c>
      <c r="AQ6" s="135" t="s">
        <v>432</v>
      </c>
      <c r="AR6" s="135" t="s">
        <v>431</v>
      </c>
      <c r="AS6" s="113" t="s">
        <v>424</v>
      </c>
      <c r="AT6" s="129" t="s">
        <v>474</v>
      </c>
      <c r="AU6" s="141" t="s">
        <v>475</v>
      </c>
      <c r="AV6" s="113" t="s">
        <v>479</v>
      </c>
      <c r="AW6" s="113" t="s">
        <v>479</v>
      </c>
      <c r="AX6" s="135" t="s">
        <v>474</v>
      </c>
      <c r="AY6" s="101" t="s">
        <v>495</v>
      </c>
      <c r="AZ6" s="168" t="s">
        <v>474</v>
      </c>
      <c r="BA6" s="101" t="s">
        <v>471</v>
      </c>
    </row>
    <row r="7" spans="1:53" ht="12.75">
      <c r="A7" s="15" t="s">
        <v>356</v>
      </c>
      <c r="B7" s="15" t="s">
        <v>365</v>
      </c>
      <c r="C7" s="15"/>
      <c r="D7" s="15"/>
      <c r="E7" s="15"/>
      <c r="F7" s="13" t="s">
        <v>360</v>
      </c>
      <c r="G7" s="13" t="s">
        <v>360</v>
      </c>
      <c r="H7" s="13" t="s">
        <v>369</v>
      </c>
      <c r="I7" s="19" t="s">
        <v>370</v>
      </c>
      <c r="J7" s="13" t="s">
        <v>360</v>
      </c>
      <c r="K7" s="13" t="s">
        <v>360</v>
      </c>
      <c r="L7" s="9" t="s">
        <v>369</v>
      </c>
      <c r="M7" s="59" t="s">
        <v>377</v>
      </c>
      <c r="N7" s="45" t="s">
        <v>384</v>
      </c>
      <c r="O7" s="36"/>
      <c r="P7" s="45" t="s">
        <v>374</v>
      </c>
      <c r="Q7" s="42" t="s">
        <v>240</v>
      </c>
      <c r="R7" s="79" t="s">
        <v>407</v>
      </c>
      <c r="S7" s="15"/>
      <c r="T7" s="15"/>
      <c r="U7" s="15"/>
      <c r="V7" s="15"/>
      <c r="W7" s="15"/>
      <c r="X7" s="15"/>
      <c r="Y7" s="15"/>
      <c r="Z7" s="15"/>
      <c r="AA7" s="15"/>
      <c r="AB7" s="83" t="s">
        <v>415</v>
      </c>
      <c r="AC7" s="153" t="s">
        <v>418</v>
      </c>
      <c r="AD7" s="99" t="s">
        <v>417</v>
      </c>
      <c r="AE7" s="15" t="s">
        <v>430</v>
      </c>
      <c r="AF7" s="99" t="s">
        <v>417</v>
      </c>
      <c r="AG7" s="15" t="s">
        <v>430</v>
      </c>
      <c r="AH7" s="99" t="s">
        <v>417</v>
      </c>
      <c r="AI7" s="15" t="s">
        <v>430</v>
      </c>
      <c r="AJ7" s="87"/>
      <c r="AK7" s="15" t="s">
        <v>409</v>
      </c>
      <c r="AL7" s="15" t="s">
        <v>409</v>
      </c>
      <c r="AM7" s="15" t="s">
        <v>400</v>
      </c>
      <c r="AN7" s="15" t="s">
        <v>400</v>
      </c>
      <c r="AO7" s="87" t="s">
        <v>428</v>
      </c>
      <c r="AP7" s="73" t="s">
        <v>443</v>
      </c>
      <c r="AQ7" s="36"/>
      <c r="AR7" s="36"/>
      <c r="AS7" s="114" t="s">
        <v>425</v>
      </c>
      <c r="AT7" s="73" t="s">
        <v>443</v>
      </c>
      <c r="AU7" s="142" t="s">
        <v>476</v>
      </c>
      <c r="AV7" s="114" t="s">
        <v>398</v>
      </c>
      <c r="AW7" s="114" t="s">
        <v>398</v>
      </c>
      <c r="AX7" s="101" t="s">
        <v>494</v>
      </c>
      <c r="AY7" s="36"/>
      <c r="AZ7" s="169" t="s">
        <v>494</v>
      </c>
      <c r="BA7" s="101" t="s">
        <v>473</v>
      </c>
    </row>
    <row r="8" spans="1:53" ht="12.75">
      <c r="A8" s="15"/>
      <c r="B8" s="15"/>
      <c r="C8" s="15"/>
      <c r="D8" s="15"/>
      <c r="E8" s="15"/>
      <c r="F8" s="15"/>
      <c r="G8" s="15"/>
      <c r="H8" s="15" t="s">
        <v>360</v>
      </c>
      <c r="I8" s="37"/>
      <c r="J8" s="15"/>
      <c r="K8" s="15"/>
      <c r="L8" s="38" t="s">
        <v>360</v>
      </c>
      <c r="M8" s="59"/>
      <c r="N8" s="45"/>
      <c r="O8" s="36"/>
      <c r="P8" s="45"/>
      <c r="Q8" s="42"/>
      <c r="R8" s="79"/>
      <c r="S8" s="15"/>
      <c r="T8" s="15"/>
      <c r="U8" s="15"/>
      <c r="V8" s="15"/>
      <c r="W8" s="15"/>
      <c r="X8" s="15"/>
      <c r="Y8" s="15"/>
      <c r="Z8" s="15"/>
      <c r="AA8" s="15"/>
      <c r="AB8" s="83"/>
      <c r="AC8" s="153"/>
      <c r="AD8" s="99"/>
      <c r="AE8" s="15"/>
      <c r="AF8" s="99"/>
      <c r="AG8" s="15"/>
      <c r="AH8" s="99"/>
      <c r="AI8" s="15"/>
      <c r="AJ8" s="87"/>
      <c r="AK8" s="15"/>
      <c r="AL8" s="15"/>
      <c r="AM8" s="15"/>
      <c r="AN8" s="15"/>
      <c r="AO8" s="87"/>
      <c r="AP8" s="73"/>
      <c r="AQ8" s="22"/>
      <c r="AR8" s="22"/>
      <c r="AS8" s="114" t="s">
        <v>426</v>
      </c>
      <c r="AT8" s="73" t="s">
        <v>446</v>
      </c>
      <c r="AU8" s="142" t="s">
        <v>477</v>
      </c>
      <c r="AV8" s="114" t="s">
        <v>480</v>
      </c>
      <c r="AW8" s="114" t="s">
        <v>484</v>
      </c>
      <c r="AX8" s="101" t="s">
        <v>446</v>
      </c>
      <c r="AY8" s="36"/>
      <c r="AZ8" s="169" t="s">
        <v>496</v>
      </c>
      <c r="BA8" s="101"/>
    </row>
    <row r="9" spans="1:53" ht="12.75">
      <c r="A9" s="15" t="s">
        <v>357</v>
      </c>
      <c r="B9" s="15"/>
      <c r="C9" s="15" t="s">
        <v>363</v>
      </c>
      <c r="D9" s="15" t="s">
        <v>364</v>
      </c>
      <c r="E9" s="15" t="s">
        <v>0</v>
      </c>
      <c r="F9" s="15" t="s">
        <v>358</v>
      </c>
      <c r="G9" s="15" t="s">
        <v>359</v>
      </c>
      <c r="H9" s="15"/>
      <c r="I9" s="37"/>
      <c r="J9" s="15" t="s">
        <v>358</v>
      </c>
      <c r="K9" s="15" t="s">
        <v>359</v>
      </c>
      <c r="L9" s="38"/>
      <c r="M9" s="59"/>
      <c r="N9" s="45" t="s">
        <v>383</v>
      </c>
      <c r="O9" s="36"/>
      <c r="P9" s="36"/>
      <c r="Q9" s="15"/>
      <c r="R9" s="77" t="s">
        <v>375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54" t="s">
        <v>420</v>
      </c>
      <c r="AD9" s="100" t="s">
        <v>436</v>
      </c>
      <c r="AE9" s="85" t="s">
        <v>436</v>
      </c>
      <c r="AF9" s="100" t="s">
        <v>396</v>
      </c>
      <c r="AG9" s="85" t="s">
        <v>396</v>
      </c>
      <c r="AH9" s="100" t="s">
        <v>397</v>
      </c>
      <c r="AI9" s="85" t="s">
        <v>397</v>
      </c>
      <c r="AJ9" s="88" t="s">
        <v>423</v>
      </c>
      <c r="AK9" s="14" t="s">
        <v>410</v>
      </c>
      <c r="AL9" s="14" t="s">
        <v>410</v>
      </c>
      <c r="AM9" s="14" t="s">
        <v>399</v>
      </c>
      <c r="AN9" s="14" t="s">
        <v>399</v>
      </c>
      <c r="AO9" s="90"/>
      <c r="AP9" s="74"/>
      <c r="AQ9" s="184" t="s">
        <v>433</v>
      </c>
      <c r="AR9" s="185"/>
      <c r="AS9" s="119" t="s">
        <v>448</v>
      </c>
      <c r="AT9" s="74" t="s">
        <v>445</v>
      </c>
      <c r="AU9" s="143" t="s">
        <v>478</v>
      </c>
      <c r="AV9" s="114" t="s">
        <v>481</v>
      </c>
      <c r="AW9" s="114"/>
      <c r="AX9" s="101" t="s">
        <v>445</v>
      </c>
      <c r="AY9" s="36"/>
      <c r="AZ9" s="169"/>
      <c r="BA9" s="36"/>
    </row>
    <row r="10" spans="1:53" ht="12.75">
      <c r="A10" s="15"/>
      <c r="B10" s="15"/>
      <c r="C10" s="15"/>
      <c r="D10" s="15"/>
      <c r="E10" s="15"/>
      <c r="F10" s="15"/>
      <c r="G10" s="15"/>
      <c r="H10" s="15"/>
      <c r="I10" s="37"/>
      <c r="J10" s="15"/>
      <c r="K10" s="15"/>
      <c r="L10" s="38"/>
      <c r="M10" s="59"/>
      <c r="N10" s="45"/>
      <c r="O10" s="36"/>
      <c r="P10" s="36"/>
      <c r="Q10" s="15"/>
      <c r="R10" s="77" t="s">
        <v>376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55"/>
      <c r="AD10" s="1"/>
      <c r="AE10" s="1"/>
      <c r="AF10" s="1"/>
      <c r="AG10" s="1"/>
      <c r="AH10" s="1"/>
      <c r="AI10" s="1"/>
      <c r="AJ10" s="6"/>
      <c r="AK10" s="85" t="s">
        <v>420</v>
      </c>
      <c r="AL10" s="85" t="s">
        <v>421</v>
      </c>
      <c r="AM10" s="85" t="s">
        <v>420</v>
      </c>
      <c r="AN10" s="85" t="s">
        <v>421</v>
      </c>
      <c r="AO10" s="6"/>
      <c r="AP10" s="75"/>
      <c r="AQ10" s="36"/>
      <c r="AR10" s="36"/>
      <c r="AS10" s="114" t="s">
        <v>447</v>
      </c>
      <c r="AT10" s="114"/>
      <c r="AU10" s="114"/>
      <c r="AV10" s="114" t="s">
        <v>482</v>
      </c>
      <c r="AW10" s="114" t="s">
        <v>482</v>
      </c>
      <c r="AX10" s="114"/>
      <c r="AY10" s="114"/>
      <c r="AZ10" s="170"/>
      <c r="BA10" s="114"/>
    </row>
    <row r="11" spans="1:53" ht="12.75">
      <c r="A11" s="14"/>
      <c r="B11" s="14"/>
      <c r="C11" s="14"/>
      <c r="D11" s="14"/>
      <c r="E11" s="14"/>
      <c r="F11" s="14"/>
      <c r="G11" s="14"/>
      <c r="H11" s="14"/>
      <c r="I11" s="20"/>
      <c r="J11" s="14"/>
      <c r="K11" s="14"/>
      <c r="L11" s="32"/>
      <c r="M11" s="60"/>
      <c r="N11" s="22"/>
      <c r="O11" s="22"/>
      <c r="P11" s="22"/>
      <c r="Q11" s="14"/>
      <c r="R11" s="78"/>
      <c r="S11" s="1"/>
      <c r="T11" s="1"/>
      <c r="U11" s="1"/>
      <c r="V11" s="1"/>
      <c r="W11" s="1"/>
      <c r="X11" s="1"/>
      <c r="Y11" s="1"/>
      <c r="Z11" s="1"/>
      <c r="AA11" s="1"/>
      <c r="AB11" s="1"/>
      <c r="AC11" s="155"/>
      <c r="AD11" s="1"/>
      <c r="AE11" s="1"/>
      <c r="AF11" s="1"/>
      <c r="AG11" s="1"/>
      <c r="AH11" s="1"/>
      <c r="AI11" s="1"/>
      <c r="AJ11" s="6"/>
      <c r="AK11" s="1"/>
      <c r="AL11" s="1"/>
      <c r="AM11" s="1"/>
      <c r="AN11" s="1"/>
      <c r="AO11" s="6"/>
      <c r="AP11" s="75"/>
      <c r="AQ11" s="22"/>
      <c r="AR11" s="22"/>
      <c r="AS11" s="115"/>
      <c r="AT11" s="137" t="s">
        <v>444</v>
      </c>
      <c r="AU11" s="115"/>
      <c r="AV11" s="115" t="s">
        <v>483</v>
      </c>
      <c r="AW11" s="115" t="s">
        <v>483</v>
      </c>
      <c r="AX11" s="115"/>
      <c r="AY11" s="115"/>
      <c r="AZ11" s="171"/>
      <c r="BA11" s="115"/>
    </row>
    <row r="12" spans="1:53" ht="12.75">
      <c r="A12" s="1">
        <v>1</v>
      </c>
      <c r="B12" s="84" t="s">
        <v>362</v>
      </c>
      <c r="C12" s="1">
        <v>411.9</v>
      </c>
      <c r="D12" s="1">
        <v>0</v>
      </c>
      <c r="E12" s="1">
        <f>C12+D12</f>
        <v>411.9</v>
      </c>
      <c r="F12" s="5">
        <v>2.9</v>
      </c>
      <c r="G12" s="5">
        <v>5.96</v>
      </c>
      <c r="H12" s="5">
        <f>F12+G12</f>
        <v>8.86</v>
      </c>
      <c r="I12" s="28">
        <f>E12*H12*6</f>
        <v>21896.604</v>
      </c>
      <c r="J12" s="5">
        <f>F12*1.067*1.002363</f>
        <v>3.101611830899999</v>
      </c>
      <c r="K12" s="5">
        <f>G12*1.067*1.002363</f>
        <v>6.374347073159999</v>
      </c>
      <c r="L12" s="27">
        <f>J12+K12</f>
        <v>9.475958904059999</v>
      </c>
      <c r="M12" s="61">
        <f>L12*E12*6</f>
        <v>23418.88483549388</v>
      </c>
      <c r="N12" s="34">
        <f>I12+M12</f>
        <v>45315.488835493874</v>
      </c>
      <c r="O12" s="34"/>
      <c r="P12" s="34"/>
      <c r="Q12" s="5">
        <f>N12-O12</f>
        <v>45315.488835493874</v>
      </c>
      <c r="R12" s="30">
        <f>Q12+P12</f>
        <v>45315.488835493874</v>
      </c>
      <c r="S12" s="1">
        <v>1713.5</v>
      </c>
      <c r="T12" s="1">
        <v>1713.5</v>
      </c>
      <c r="U12" s="1">
        <v>1713.5</v>
      </c>
      <c r="V12" s="1">
        <v>1713.5</v>
      </c>
      <c r="W12" s="1">
        <v>1713.5</v>
      </c>
      <c r="X12" s="1">
        <v>1713.5</v>
      </c>
      <c r="Y12" s="1">
        <v>1832.96</v>
      </c>
      <c r="Z12" s="1">
        <v>1832.96</v>
      </c>
      <c r="AA12" s="1">
        <v>1832.96</v>
      </c>
      <c r="AB12" s="1">
        <v>709.53</v>
      </c>
      <c r="AC12" s="165">
        <f>S12+T12++U12+V12+W12+X12+Y12+Z12+AA12+AB12</f>
        <v>16489.409999999996</v>
      </c>
      <c r="AD12" s="1">
        <v>626.09</v>
      </c>
      <c r="AE12" s="1">
        <v>497.34</v>
      </c>
      <c r="AF12" s="1">
        <v>1021.51</v>
      </c>
      <c r="AG12" s="1">
        <v>811.44</v>
      </c>
      <c r="AH12" s="1">
        <v>1021.51</v>
      </c>
      <c r="AI12" s="1">
        <v>811.44</v>
      </c>
      <c r="AJ12" s="6">
        <f>AC12+AD12+AE12+AF12+AG12+AH12+AI12</f>
        <v>21278.73999999999</v>
      </c>
      <c r="AK12" s="1"/>
      <c r="AL12" s="1"/>
      <c r="AM12" s="1"/>
      <c r="AN12" s="1"/>
      <c r="AO12" s="6">
        <f>AJ12+AK12+AL12+AM12+AN12</f>
        <v>21278.73999999999</v>
      </c>
      <c r="AP12" s="91">
        <f aca="true" t="shared" si="0" ref="AP12:AP25">R12-AO12</f>
        <v>24036.748835493883</v>
      </c>
      <c r="AQ12" s="10">
        <v>8179.84</v>
      </c>
      <c r="AR12" s="10">
        <v>20909.32</v>
      </c>
      <c r="AS12" s="34"/>
      <c r="AT12" s="116">
        <f>AP12+AQ12+AR12+AS12</f>
        <v>53125.90883549389</v>
      </c>
      <c r="AU12" s="116"/>
      <c r="AV12" s="116"/>
      <c r="AW12" s="116"/>
      <c r="AX12" s="116">
        <f>AT12+AU12-AV12-AW12</f>
        <v>53125.90883549389</v>
      </c>
      <c r="AY12" s="116">
        <v>15364.64</v>
      </c>
      <c r="AZ12" s="172">
        <f>AX12-AY12</f>
        <v>37761.26883549389</v>
      </c>
      <c r="BA12" s="130">
        <v>285222.05</v>
      </c>
    </row>
    <row r="13" spans="1:53" ht="12.75" customHeight="1">
      <c r="A13" s="1">
        <v>2</v>
      </c>
      <c r="B13" s="1" t="s">
        <v>3</v>
      </c>
      <c r="C13" s="1">
        <v>3411.5</v>
      </c>
      <c r="D13" s="1">
        <v>0</v>
      </c>
      <c r="E13" s="7">
        <f aca="true" t="shared" si="1" ref="E13:E62">C13+D13</f>
        <v>3411.5</v>
      </c>
      <c r="F13" s="5">
        <v>2.9</v>
      </c>
      <c r="G13" s="5">
        <v>7.85</v>
      </c>
      <c r="H13" s="5">
        <f aca="true" t="shared" si="2" ref="H13:H75">F13+G13</f>
        <v>10.75</v>
      </c>
      <c r="I13" s="28">
        <f aca="true" t="shared" si="3" ref="I13:I75">E13*H13*6</f>
        <v>220041.75</v>
      </c>
      <c r="J13" s="5">
        <f aca="true" t="shared" si="4" ref="J13:J75">F13*1.067*1.002363</f>
        <v>3.101611830899999</v>
      </c>
      <c r="K13" s="5">
        <f aca="true" t="shared" si="5" ref="K13:K75">G13*1.067*1.002363</f>
        <v>8.395742369849998</v>
      </c>
      <c r="L13" s="27">
        <f aca="true" t="shared" si="6" ref="L13:L75">J13+K13</f>
        <v>11.497354200749998</v>
      </c>
      <c r="M13" s="61">
        <f aca="true" t="shared" si="7" ref="M13:M75">L13*E13*6</f>
        <v>235339.34313515172</v>
      </c>
      <c r="N13" s="34">
        <f aca="true" t="shared" si="8" ref="N13:N75">I13+M13</f>
        <v>455381.0931351517</v>
      </c>
      <c r="O13" s="34">
        <v>68766.24</v>
      </c>
      <c r="P13" s="34"/>
      <c r="Q13" s="5">
        <f aca="true" t="shared" si="9" ref="Q13:Q75">N13-O13</f>
        <v>386614.85313515173</v>
      </c>
      <c r="R13" s="30">
        <f aca="true" t="shared" si="10" ref="R13:R75">Q13+P13</f>
        <v>386614.85313515173</v>
      </c>
      <c r="S13" s="1">
        <v>25043.12</v>
      </c>
      <c r="T13" s="1">
        <v>49685.13</v>
      </c>
      <c r="U13" s="1">
        <v>16395.18</v>
      </c>
      <c r="V13" s="1">
        <v>23490.41</v>
      </c>
      <c r="W13" s="1">
        <v>26401.16</v>
      </c>
      <c r="X13" s="1">
        <v>48923.17</v>
      </c>
      <c r="Y13" s="1">
        <v>23823.84</v>
      </c>
      <c r="Z13" s="1">
        <v>28343.19</v>
      </c>
      <c r="AA13" s="1">
        <v>106872.75</v>
      </c>
      <c r="AB13" s="1">
        <v>11379.87</v>
      </c>
      <c r="AC13" s="165">
        <f>S13+T13++U13+V13+W13+X13+Y13+Z13+AA13+AB13</f>
        <v>360357.81999999995</v>
      </c>
      <c r="AD13" s="1">
        <v>0</v>
      </c>
      <c r="AE13" s="1">
        <v>11973.88</v>
      </c>
      <c r="AF13" s="1"/>
      <c r="AG13" s="1">
        <v>21090.55</v>
      </c>
      <c r="AH13" s="1">
        <v>0</v>
      </c>
      <c r="AI13" s="1">
        <v>22711.41</v>
      </c>
      <c r="AJ13" s="6">
        <f aca="true" t="shared" si="11" ref="AJ13:AJ76">AC13+AD13+AE13+AF13+AG13+AH13+AI13</f>
        <v>416133.6599999999</v>
      </c>
      <c r="AK13" s="1"/>
      <c r="AL13" s="1"/>
      <c r="AM13" s="1"/>
      <c r="AN13" s="1"/>
      <c r="AO13" s="6">
        <f aca="true" t="shared" si="12" ref="AO13:AO76">AJ13+AK13+AL13+AM13+AN13</f>
        <v>416133.6599999999</v>
      </c>
      <c r="AP13" s="136">
        <f t="shared" si="0"/>
        <v>-29518.806864848186</v>
      </c>
      <c r="AQ13" s="110"/>
      <c r="AR13" s="110"/>
      <c r="AS13" s="111"/>
      <c r="AT13" s="111">
        <f aca="true" t="shared" si="13" ref="AT13:AT43">AP13+AQ13+AR13+AS13</f>
        <v>-29518.806864848186</v>
      </c>
      <c r="AU13" s="121"/>
      <c r="AV13" s="111"/>
      <c r="AW13" s="111"/>
      <c r="AX13" s="111"/>
      <c r="AY13" s="116"/>
      <c r="AZ13" s="172">
        <f aca="true" t="shared" si="14" ref="AZ13:AZ76">AX13-AY13</f>
        <v>0</v>
      </c>
      <c r="BA13" s="130">
        <v>116125.79</v>
      </c>
    </row>
    <row r="14" spans="1:53" ht="12.75">
      <c r="A14" s="1">
        <v>3</v>
      </c>
      <c r="B14" s="1" t="s">
        <v>4</v>
      </c>
      <c r="C14" s="1">
        <v>605.9</v>
      </c>
      <c r="D14" s="1">
        <v>0</v>
      </c>
      <c r="E14" s="7">
        <f t="shared" si="1"/>
        <v>605.9</v>
      </c>
      <c r="F14" s="5">
        <v>2.9</v>
      </c>
      <c r="G14" s="5">
        <v>6.98</v>
      </c>
      <c r="H14" s="5">
        <f t="shared" si="2"/>
        <v>9.88</v>
      </c>
      <c r="I14" s="28">
        <f t="shared" si="3"/>
        <v>35917.752</v>
      </c>
      <c r="J14" s="5">
        <f t="shared" si="4"/>
        <v>3.101611830899999</v>
      </c>
      <c r="K14" s="5">
        <f t="shared" si="5"/>
        <v>7.465258820579999</v>
      </c>
      <c r="L14" s="27">
        <f t="shared" si="6"/>
        <v>10.566870651479999</v>
      </c>
      <c r="M14" s="61">
        <f t="shared" si="7"/>
        <v>38414.801566390386</v>
      </c>
      <c r="N14" s="34">
        <f t="shared" si="8"/>
        <v>74332.55356639039</v>
      </c>
      <c r="O14" s="34">
        <v>11214.28</v>
      </c>
      <c r="P14" s="34"/>
      <c r="Q14" s="5">
        <f t="shared" si="9"/>
        <v>63118.27356639039</v>
      </c>
      <c r="R14" s="30">
        <f t="shared" si="10"/>
        <v>63118.27356639039</v>
      </c>
      <c r="S14" s="1">
        <v>3055.7</v>
      </c>
      <c r="T14" s="1">
        <v>3689.29</v>
      </c>
      <c r="U14" s="1">
        <v>12428.31</v>
      </c>
      <c r="V14" s="1">
        <v>3347.82</v>
      </c>
      <c r="W14" s="1">
        <v>2698.19</v>
      </c>
      <c r="X14" s="1">
        <v>2954.26</v>
      </c>
      <c r="Y14" s="1">
        <v>3631.73</v>
      </c>
      <c r="Z14" s="1">
        <v>3712.74</v>
      </c>
      <c r="AA14" s="1">
        <v>8217.81</v>
      </c>
      <c r="AB14" s="1">
        <v>1221.36</v>
      </c>
      <c r="AC14" s="165">
        <f aca="true" t="shared" si="15" ref="AC14:AC77">S14+T14++U14+V14+W14+X14+Y14+Z14+AA14+AB14</f>
        <v>44957.21</v>
      </c>
      <c r="AD14" s="1">
        <v>0</v>
      </c>
      <c r="AE14" s="1">
        <v>2518.11</v>
      </c>
      <c r="AF14" s="1"/>
      <c r="AG14" s="1">
        <v>3600.14</v>
      </c>
      <c r="AH14" s="1">
        <v>0</v>
      </c>
      <c r="AI14" s="1">
        <v>4573.56</v>
      </c>
      <c r="AJ14" s="6">
        <f t="shared" si="11"/>
        <v>55649.02</v>
      </c>
      <c r="AK14" s="1"/>
      <c r="AL14" s="1"/>
      <c r="AM14" s="1"/>
      <c r="AN14" s="1">
        <v>350</v>
      </c>
      <c r="AO14" s="6">
        <f t="shared" si="12"/>
        <v>55999.02</v>
      </c>
      <c r="AP14" s="91">
        <f t="shared" si="0"/>
        <v>7119.253566390391</v>
      </c>
      <c r="AQ14" s="10"/>
      <c r="AR14" s="10"/>
      <c r="AS14" s="34"/>
      <c r="AT14" s="116">
        <f t="shared" si="13"/>
        <v>7119.253566390391</v>
      </c>
      <c r="AU14" s="116"/>
      <c r="AV14" s="116"/>
      <c r="AW14" s="116">
        <v>4160</v>
      </c>
      <c r="AX14" s="146">
        <f>AT14+AU14-AV14-AW14</f>
        <v>2959.253566390391</v>
      </c>
      <c r="AY14" s="116">
        <v>855.85</v>
      </c>
      <c r="AZ14" s="172">
        <f t="shared" si="14"/>
        <v>2103.403566390391</v>
      </c>
      <c r="BA14" s="130">
        <v>96285.27</v>
      </c>
    </row>
    <row r="15" spans="1:53" ht="12.75">
      <c r="A15" s="1">
        <v>4</v>
      </c>
      <c r="B15" s="84" t="s">
        <v>6</v>
      </c>
      <c r="C15" s="1">
        <v>3406.9</v>
      </c>
      <c r="D15" s="1">
        <v>118</v>
      </c>
      <c r="E15" s="7">
        <f t="shared" si="1"/>
        <v>3524.9</v>
      </c>
      <c r="F15" s="5">
        <v>2.9</v>
      </c>
      <c r="G15" s="5">
        <v>7.35</v>
      </c>
      <c r="H15" s="5">
        <f t="shared" si="2"/>
        <v>10.25</v>
      </c>
      <c r="I15" s="28">
        <f t="shared" si="3"/>
        <v>216781.34999999998</v>
      </c>
      <c r="J15" s="5">
        <f t="shared" si="4"/>
        <v>3.101611830899999</v>
      </c>
      <c r="K15" s="5">
        <f t="shared" si="5"/>
        <v>7.860981709349999</v>
      </c>
      <c r="L15" s="27">
        <f t="shared" si="6"/>
        <v>10.962593540249998</v>
      </c>
      <c r="M15" s="61">
        <f t="shared" si="7"/>
        <v>231852.2758201633</v>
      </c>
      <c r="N15" s="34">
        <f t="shared" si="8"/>
        <v>448633.6258201633</v>
      </c>
      <c r="O15" s="34"/>
      <c r="P15" s="34"/>
      <c r="Q15" s="5">
        <f t="shared" si="9"/>
        <v>448633.6258201633</v>
      </c>
      <c r="R15" s="30">
        <f t="shared" si="10"/>
        <v>448633.6258201633</v>
      </c>
      <c r="S15" s="1">
        <v>22061.41</v>
      </c>
      <c r="T15" s="1">
        <v>19875.17</v>
      </c>
      <c r="U15" s="1">
        <v>33300.47</v>
      </c>
      <c r="V15" s="1">
        <v>16681.32</v>
      </c>
      <c r="W15" s="1">
        <v>27952.26</v>
      </c>
      <c r="X15" s="1">
        <v>104776.37</v>
      </c>
      <c r="Y15" s="1">
        <v>35339.97</v>
      </c>
      <c r="Z15" s="1">
        <v>16536.53</v>
      </c>
      <c r="AA15" s="1">
        <v>17469.82</v>
      </c>
      <c r="AB15" s="1">
        <v>6651.84</v>
      </c>
      <c r="AC15" s="165">
        <f t="shared" si="15"/>
        <v>300645.16000000003</v>
      </c>
      <c r="AD15" s="1">
        <v>8671.53</v>
      </c>
      <c r="AE15" s="1">
        <v>4744.47</v>
      </c>
      <c r="AF15" s="1">
        <v>24808.03</v>
      </c>
      <c r="AG15" s="1">
        <v>15682.82</v>
      </c>
      <c r="AH15" s="1">
        <v>21182.58</v>
      </c>
      <c r="AI15" s="1">
        <v>27685.63</v>
      </c>
      <c r="AJ15" s="6">
        <f t="shared" si="11"/>
        <v>403420.2200000001</v>
      </c>
      <c r="AK15" s="1"/>
      <c r="AL15" s="1"/>
      <c r="AM15" s="1"/>
      <c r="AN15" s="1"/>
      <c r="AO15" s="6">
        <f t="shared" si="12"/>
        <v>403420.2200000001</v>
      </c>
      <c r="AP15" s="91">
        <f t="shared" si="0"/>
        <v>45213.4058201632</v>
      </c>
      <c r="AQ15" s="10">
        <v>93820.94</v>
      </c>
      <c r="AR15" s="10">
        <v>96113.77</v>
      </c>
      <c r="AS15" s="34"/>
      <c r="AT15" s="116">
        <f t="shared" si="13"/>
        <v>235148.11582016322</v>
      </c>
      <c r="AU15" s="116"/>
      <c r="AV15" s="144">
        <f>56782.96+50686.75</f>
        <v>107469.70999999999</v>
      </c>
      <c r="AW15" s="116"/>
      <c r="AX15" s="116">
        <f>AT15+AU15-AV15-AW15</f>
        <v>127678.40582016323</v>
      </c>
      <c r="AY15" s="116">
        <v>36926.1</v>
      </c>
      <c r="AZ15" s="172">
        <f t="shared" si="14"/>
        <v>90752.30582016322</v>
      </c>
      <c r="BA15" s="130">
        <v>148078.55</v>
      </c>
    </row>
    <row r="16" spans="1:53" ht="12.75">
      <c r="A16" s="1">
        <v>5</v>
      </c>
      <c r="B16" s="84" t="s">
        <v>7</v>
      </c>
      <c r="C16" s="1">
        <v>3259.1</v>
      </c>
      <c r="D16" s="1">
        <v>179.1</v>
      </c>
      <c r="E16" s="7">
        <f t="shared" si="1"/>
        <v>3438.2</v>
      </c>
      <c r="F16" s="5">
        <v>2.9</v>
      </c>
      <c r="G16" s="5">
        <v>7.35</v>
      </c>
      <c r="H16" s="5">
        <f t="shared" si="2"/>
        <v>10.25</v>
      </c>
      <c r="I16" s="28">
        <f t="shared" si="3"/>
        <v>211449.3</v>
      </c>
      <c r="J16" s="5">
        <f t="shared" si="4"/>
        <v>3.101611830899999</v>
      </c>
      <c r="K16" s="5">
        <f t="shared" si="5"/>
        <v>7.860981709349999</v>
      </c>
      <c r="L16" s="27">
        <f t="shared" si="6"/>
        <v>10.962593540249998</v>
      </c>
      <c r="M16" s="61">
        <f t="shared" si="7"/>
        <v>226149.5346605252</v>
      </c>
      <c r="N16" s="34">
        <f t="shared" si="8"/>
        <v>437598.8346605252</v>
      </c>
      <c r="O16" s="34"/>
      <c r="P16" s="34"/>
      <c r="Q16" s="5">
        <f t="shared" si="9"/>
        <v>437598.8346605252</v>
      </c>
      <c r="R16" s="30">
        <f t="shared" si="10"/>
        <v>437598.8346605252</v>
      </c>
      <c r="S16" s="1">
        <v>29008.92</v>
      </c>
      <c r="T16" s="1">
        <v>19761.35</v>
      </c>
      <c r="U16" s="1">
        <v>158265.78</v>
      </c>
      <c r="V16" s="1">
        <v>28607.99</v>
      </c>
      <c r="W16" s="1">
        <v>43086.42</v>
      </c>
      <c r="X16" s="1">
        <v>21725.26</v>
      </c>
      <c r="Y16" s="1">
        <v>22667.52</v>
      </c>
      <c r="Z16" s="1">
        <v>23965.3</v>
      </c>
      <c r="AA16" s="1">
        <v>36863.77</v>
      </c>
      <c r="AB16" s="1">
        <v>6504.39</v>
      </c>
      <c r="AC16" s="165">
        <f t="shared" si="15"/>
        <v>390456.7</v>
      </c>
      <c r="AD16" s="1">
        <v>8465.27</v>
      </c>
      <c r="AE16" s="1">
        <v>6127.3</v>
      </c>
      <c r="AF16" s="1">
        <v>9544.97</v>
      </c>
      <c r="AG16" s="1">
        <v>8211.41</v>
      </c>
      <c r="AH16" s="1">
        <v>11597.46</v>
      </c>
      <c r="AI16" s="1">
        <v>7994.7</v>
      </c>
      <c r="AJ16" s="6">
        <f t="shared" si="11"/>
        <v>442397.81</v>
      </c>
      <c r="AK16" s="1"/>
      <c r="AL16" s="1"/>
      <c r="AM16" s="1"/>
      <c r="AN16" s="1"/>
      <c r="AO16" s="6">
        <f t="shared" si="12"/>
        <v>442397.81</v>
      </c>
      <c r="AP16" s="91">
        <f t="shared" si="0"/>
        <v>-4798.975339474797</v>
      </c>
      <c r="AQ16" s="10">
        <v>8617.85</v>
      </c>
      <c r="AR16" s="10">
        <v>29956.62</v>
      </c>
      <c r="AS16" s="34"/>
      <c r="AT16" s="34">
        <f t="shared" si="13"/>
        <v>33775.494660525204</v>
      </c>
      <c r="AU16" s="116">
        <v>2231</v>
      </c>
      <c r="AV16" s="34"/>
      <c r="AW16" s="116"/>
      <c r="AX16" s="116">
        <f>AT16+AU16-AV16-AW16</f>
        <v>36006.494660525204</v>
      </c>
      <c r="AY16" s="116">
        <v>10413.5</v>
      </c>
      <c r="AZ16" s="172">
        <f t="shared" si="14"/>
        <v>25592.994660525204</v>
      </c>
      <c r="BA16" s="130">
        <v>92085.88</v>
      </c>
    </row>
    <row r="17" spans="1:53" ht="12.75">
      <c r="A17" s="1">
        <v>6</v>
      </c>
      <c r="B17" s="84" t="s">
        <v>8</v>
      </c>
      <c r="C17" s="1">
        <v>3373.2</v>
      </c>
      <c r="D17" s="1">
        <v>62.4</v>
      </c>
      <c r="E17" s="7">
        <f t="shared" si="1"/>
        <v>3435.6</v>
      </c>
      <c r="F17" s="5">
        <v>2.9</v>
      </c>
      <c r="G17" s="5">
        <v>7.35</v>
      </c>
      <c r="H17" s="5">
        <f t="shared" si="2"/>
        <v>10.25</v>
      </c>
      <c r="I17" s="28">
        <f t="shared" si="3"/>
        <v>211289.40000000002</v>
      </c>
      <c r="J17" s="5">
        <f t="shared" si="4"/>
        <v>3.101611830899999</v>
      </c>
      <c r="K17" s="5">
        <f t="shared" si="5"/>
        <v>7.860981709349999</v>
      </c>
      <c r="L17" s="27">
        <f t="shared" si="6"/>
        <v>10.962593540249998</v>
      </c>
      <c r="M17" s="61">
        <f t="shared" si="7"/>
        <v>225978.51820129732</v>
      </c>
      <c r="N17" s="34">
        <f t="shared" si="8"/>
        <v>437267.91820129735</v>
      </c>
      <c r="O17" s="34">
        <v>85294.55</v>
      </c>
      <c r="P17" s="34"/>
      <c r="Q17" s="5">
        <f t="shared" si="9"/>
        <v>351973.36820129736</v>
      </c>
      <c r="R17" s="30">
        <f t="shared" si="10"/>
        <v>351973.36820129736</v>
      </c>
      <c r="S17" s="1">
        <v>19386.93</v>
      </c>
      <c r="T17" s="1">
        <v>16003.95</v>
      </c>
      <c r="U17" s="1">
        <v>16669.13</v>
      </c>
      <c r="V17" s="1">
        <v>19965.08</v>
      </c>
      <c r="W17" s="1">
        <v>35715.09</v>
      </c>
      <c r="X17" s="1">
        <v>22760.78</v>
      </c>
      <c r="Y17" s="1">
        <v>59436.17</v>
      </c>
      <c r="Z17" s="1">
        <v>38677.77</v>
      </c>
      <c r="AA17" s="1">
        <v>28062.74</v>
      </c>
      <c r="AB17" s="1">
        <v>17742.58</v>
      </c>
      <c r="AC17" s="165">
        <f t="shared" si="15"/>
        <v>274420.22</v>
      </c>
      <c r="AD17" s="1">
        <v>10766.48</v>
      </c>
      <c r="AE17" s="1">
        <v>4584.39</v>
      </c>
      <c r="AF17" s="1">
        <v>10966.61</v>
      </c>
      <c r="AG17" s="1">
        <v>8615.02</v>
      </c>
      <c r="AH17" s="1">
        <v>17988.86</v>
      </c>
      <c r="AI17" s="1">
        <v>11734.21</v>
      </c>
      <c r="AJ17" s="6">
        <f t="shared" si="11"/>
        <v>339075.79</v>
      </c>
      <c r="AK17" s="1"/>
      <c r="AL17" s="1"/>
      <c r="AM17" s="1"/>
      <c r="AN17" s="1">
        <v>350</v>
      </c>
      <c r="AO17" s="6">
        <f t="shared" si="12"/>
        <v>339425.79</v>
      </c>
      <c r="AP17" s="91">
        <f t="shared" si="0"/>
        <v>12547.57820129738</v>
      </c>
      <c r="AQ17" s="10"/>
      <c r="AR17" s="10"/>
      <c r="AS17" s="34"/>
      <c r="AT17" s="116">
        <f t="shared" si="13"/>
        <v>12547.57820129738</v>
      </c>
      <c r="AU17" s="116"/>
      <c r="AV17" s="116"/>
      <c r="AW17" s="116"/>
      <c r="AX17" s="146">
        <f>AT17+AU17-AV17-AW17</f>
        <v>12547.57820129738</v>
      </c>
      <c r="AY17" s="116">
        <v>3628.91</v>
      </c>
      <c r="AZ17" s="172">
        <f t="shared" si="14"/>
        <v>8918.66820129738</v>
      </c>
      <c r="BA17" s="130">
        <v>162680.94</v>
      </c>
    </row>
    <row r="18" spans="1:53" ht="12.75">
      <c r="A18" s="1">
        <v>7</v>
      </c>
      <c r="B18" s="84" t="s">
        <v>9</v>
      </c>
      <c r="C18" s="1">
        <v>3286.5</v>
      </c>
      <c r="D18" s="1">
        <v>113.1</v>
      </c>
      <c r="E18" s="7">
        <f t="shared" si="1"/>
        <v>3399.6</v>
      </c>
      <c r="F18" s="5">
        <v>2.9</v>
      </c>
      <c r="G18" s="5">
        <v>7.35</v>
      </c>
      <c r="H18" s="5">
        <f t="shared" si="2"/>
        <v>10.25</v>
      </c>
      <c r="I18" s="28">
        <f t="shared" si="3"/>
        <v>209075.40000000002</v>
      </c>
      <c r="J18" s="5">
        <f t="shared" si="4"/>
        <v>3.101611830899999</v>
      </c>
      <c r="K18" s="5">
        <f t="shared" si="5"/>
        <v>7.860981709349999</v>
      </c>
      <c r="L18" s="27">
        <f t="shared" si="6"/>
        <v>10.962593540249998</v>
      </c>
      <c r="M18" s="61">
        <f t="shared" si="7"/>
        <v>223610.59799660335</v>
      </c>
      <c r="N18" s="34">
        <f t="shared" si="8"/>
        <v>432685.9979966034</v>
      </c>
      <c r="O18" s="34"/>
      <c r="P18" s="34"/>
      <c r="Q18" s="5">
        <f t="shared" si="9"/>
        <v>432685.9979966034</v>
      </c>
      <c r="R18" s="30">
        <f t="shared" si="10"/>
        <v>432685.9979966034</v>
      </c>
      <c r="S18" s="1">
        <v>20395.44</v>
      </c>
      <c r="T18" s="1">
        <v>15692.93</v>
      </c>
      <c r="U18" s="1">
        <v>16258.23</v>
      </c>
      <c r="V18" s="1">
        <v>16543.55</v>
      </c>
      <c r="W18" s="1">
        <v>19504.07</v>
      </c>
      <c r="X18" s="1">
        <v>21476.34</v>
      </c>
      <c r="Y18" s="1">
        <v>22219.76</v>
      </c>
      <c r="Z18" s="1">
        <v>65586.1</v>
      </c>
      <c r="AA18" s="1">
        <v>25568.85</v>
      </c>
      <c r="AB18" s="1">
        <v>10387.6</v>
      </c>
      <c r="AC18" s="165">
        <f t="shared" si="15"/>
        <v>233632.87000000002</v>
      </c>
      <c r="AD18" s="1">
        <v>7956.74</v>
      </c>
      <c r="AE18" s="1">
        <v>4102.33</v>
      </c>
      <c r="AF18" s="1">
        <v>9447.01</v>
      </c>
      <c r="AG18" s="1">
        <v>7553.78</v>
      </c>
      <c r="AH18" s="1">
        <v>11305.08</v>
      </c>
      <c r="AI18" s="1">
        <v>6870.92</v>
      </c>
      <c r="AJ18" s="6">
        <f t="shared" si="11"/>
        <v>280868.73000000004</v>
      </c>
      <c r="AK18" s="1"/>
      <c r="AL18" s="1"/>
      <c r="AM18" s="1"/>
      <c r="AN18" s="1"/>
      <c r="AO18" s="6">
        <f t="shared" si="12"/>
        <v>280868.73000000004</v>
      </c>
      <c r="AP18" s="91">
        <f t="shared" si="0"/>
        <v>151817.26799660333</v>
      </c>
      <c r="AQ18" s="10">
        <v>3699.94</v>
      </c>
      <c r="AR18" s="10">
        <v>-57188.66</v>
      </c>
      <c r="AS18" s="34"/>
      <c r="AT18" s="116">
        <f t="shared" si="13"/>
        <v>98328.54799660333</v>
      </c>
      <c r="AU18" s="116"/>
      <c r="AV18" s="116"/>
      <c r="AW18" s="116"/>
      <c r="AX18" s="146">
        <f>AT18+AU18-AV18-AW18</f>
        <v>98328.54799660333</v>
      </c>
      <c r="AY18" s="116">
        <v>28437.78</v>
      </c>
      <c r="AZ18" s="172">
        <f t="shared" si="14"/>
        <v>69890.76799660333</v>
      </c>
      <c r="BA18" s="130">
        <v>114212.82</v>
      </c>
    </row>
    <row r="19" spans="1:53" ht="12.75" customHeight="1">
      <c r="A19" s="1">
        <v>8</v>
      </c>
      <c r="B19" s="84" t="s">
        <v>10</v>
      </c>
      <c r="C19" s="1">
        <v>3398.5</v>
      </c>
      <c r="D19" s="1">
        <v>0</v>
      </c>
      <c r="E19" s="7">
        <f t="shared" si="1"/>
        <v>3398.5</v>
      </c>
      <c r="F19" s="5">
        <v>2.9</v>
      </c>
      <c r="G19" s="5">
        <v>5.98</v>
      </c>
      <c r="H19" s="5">
        <f t="shared" si="2"/>
        <v>8.88</v>
      </c>
      <c r="I19" s="28">
        <f t="shared" si="3"/>
        <v>181072.08000000002</v>
      </c>
      <c r="J19" s="5">
        <f t="shared" si="4"/>
        <v>3.101611830899999</v>
      </c>
      <c r="K19" s="5">
        <f t="shared" si="5"/>
        <v>6.395737499579999</v>
      </c>
      <c r="L19" s="27">
        <f t="shared" si="6"/>
        <v>9.497349330479999</v>
      </c>
      <c r="M19" s="61">
        <f t="shared" si="7"/>
        <v>193660.45019781767</v>
      </c>
      <c r="N19" s="34">
        <f t="shared" si="8"/>
        <v>374732.5301978177</v>
      </c>
      <c r="O19" s="34"/>
      <c r="P19" s="34"/>
      <c r="Q19" s="5">
        <f t="shared" si="9"/>
        <v>374732.5301978177</v>
      </c>
      <c r="R19" s="30">
        <f t="shared" si="10"/>
        <v>374732.5301978177</v>
      </c>
      <c r="S19" s="1">
        <v>14777.95</v>
      </c>
      <c r="T19" s="1">
        <v>15698.49</v>
      </c>
      <c r="U19" s="1">
        <v>39486.42</v>
      </c>
      <c r="V19" s="1">
        <v>49768.93</v>
      </c>
      <c r="W19" s="1">
        <v>106429.79</v>
      </c>
      <c r="X19" s="1">
        <v>32809.27</v>
      </c>
      <c r="Y19" s="1">
        <v>24340.4</v>
      </c>
      <c r="Z19" s="1">
        <v>15295.64</v>
      </c>
      <c r="AA19" s="1">
        <v>25776.02</v>
      </c>
      <c r="AB19" s="1">
        <v>9939.85</v>
      </c>
      <c r="AC19" s="165">
        <f t="shared" si="15"/>
        <v>334322.76</v>
      </c>
      <c r="AD19" s="1">
        <v>74109.38</v>
      </c>
      <c r="AE19" s="1">
        <v>4538.75</v>
      </c>
      <c r="AF19" s="1">
        <v>8425.3</v>
      </c>
      <c r="AG19" s="1">
        <v>6870.33</v>
      </c>
      <c r="AH19" s="1">
        <v>9151.81</v>
      </c>
      <c r="AI19" s="1">
        <v>6870.33</v>
      </c>
      <c r="AJ19" s="6">
        <f t="shared" si="11"/>
        <v>444288.66000000003</v>
      </c>
      <c r="AK19" s="1"/>
      <c r="AL19" s="1"/>
      <c r="AM19" s="1"/>
      <c r="AN19" s="1"/>
      <c r="AO19" s="6">
        <f t="shared" si="12"/>
        <v>444288.66000000003</v>
      </c>
      <c r="AP19" s="136">
        <f t="shared" si="0"/>
        <v>-69556.12980218232</v>
      </c>
      <c r="AQ19" s="110"/>
      <c r="AR19" s="110">
        <v>2468.88</v>
      </c>
      <c r="AS19" s="111"/>
      <c r="AT19" s="111">
        <f t="shared" si="13"/>
        <v>-67087.24980218231</v>
      </c>
      <c r="AU19" s="121"/>
      <c r="AV19" s="111"/>
      <c r="AW19" s="111"/>
      <c r="AX19" s="111"/>
      <c r="AY19" s="116"/>
      <c r="AZ19" s="172">
        <f t="shared" si="14"/>
        <v>0</v>
      </c>
      <c r="BA19" s="130">
        <v>82735.89</v>
      </c>
    </row>
    <row r="20" spans="1:53" ht="12.75">
      <c r="A20" s="1">
        <v>9</v>
      </c>
      <c r="B20" s="84" t="s">
        <v>11</v>
      </c>
      <c r="C20" s="1">
        <v>6083.6</v>
      </c>
      <c r="D20" s="1">
        <v>0</v>
      </c>
      <c r="E20" s="7">
        <f t="shared" si="1"/>
        <v>6083.6</v>
      </c>
      <c r="F20" s="5">
        <v>2.9</v>
      </c>
      <c r="G20" s="5">
        <v>7.85</v>
      </c>
      <c r="H20" s="5">
        <f t="shared" si="2"/>
        <v>10.75</v>
      </c>
      <c r="I20" s="28">
        <f t="shared" si="3"/>
        <v>392392.2</v>
      </c>
      <c r="J20" s="5">
        <f t="shared" si="4"/>
        <v>3.101611830899999</v>
      </c>
      <c r="K20" s="5">
        <f t="shared" si="5"/>
        <v>8.395742369849998</v>
      </c>
      <c r="L20" s="27">
        <f t="shared" si="6"/>
        <v>11.497354200749998</v>
      </c>
      <c r="M20" s="61">
        <f t="shared" si="7"/>
        <v>419671.82409409614</v>
      </c>
      <c r="N20" s="34">
        <f t="shared" si="8"/>
        <v>812064.0240940962</v>
      </c>
      <c r="O20" s="34"/>
      <c r="P20" s="34"/>
      <c r="Q20" s="5">
        <f t="shared" si="9"/>
        <v>812064.0240940962</v>
      </c>
      <c r="R20" s="30">
        <f t="shared" si="10"/>
        <v>812064.0240940962</v>
      </c>
      <c r="S20" s="1">
        <v>45424.32</v>
      </c>
      <c r="T20" s="1">
        <v>40084.19</v>
      </c>
      <c r="U20" s="1">
        <v>36084.97</v>
      </c>
      <c r="V20" s="1">
        <v>70401.74</v>
      </c>
      <c r="W20" s="1">
        <v>69127.39</v>
      </c>
      <c r="X20" s="1">
        <v>42934.28</v>
      </c>
      <c r="Y20" s="1">
        <v>55744.11</v>
      </c>
      <c r="Z20" s="1">
        <v>84104.59</v>
      </c>
      <c r="AA20" s="1">
        <v>94542.38</v>
      </c>
      <c r="AB20" s="1">
        <v>68168.92</v>
      </c>
      <c r="AC20" s="165">
        <f t="shared" si="15"/>
        <v>606616.89</v>
      </c>
      <c r="AD20" s="1">
        <v>22687.98</v>
      </c>
      <c r="AE20" s="1">
        <v>16198.65</v>
      </c>
      <c r="AF20" s="1">
        <v>16279.95</v>
      </c>
      <c r="AG20" s="1">
        <v>19498.28</v>
      </c>
      <c r="AH20" s="1">
        <v>49716.67</v>
      </c>
      <c r="AI20" s="1">
        <v>21741.7</v>
      </c>
      <c r="AJ20" s="6">
        <f t="shared" si="11"/>
        <v>752740.12</v>
      </c>
      <c r="AK20" s="1"/>
      <c r="AL20" s="1"/>
      <c r="AM20" s="1"/>
      <c r="AN20" s="1"/>
      <c r="AO20" s="6">
        <f t="shared" si="12"/>
        <v>752740.12</v>
      </c>
      <c r="AP20" s="91">
        <f t="shared" si="0"/>
        <v>59323.90409409616</v>
      </c>
      <c r="AQ20" s="10">
        <v>34541.13</v>
      </c>
      <c r="AR20" s="10">
        <v>109799.2</v>
      </c>
      <c r="AS20" s="34"/>
      <c r="AT20" s="116">
        <f t="shared" si="13"/>
        <v>203664.23409409617</v>
      </c>
      <c r="AU20" s="116">
        <v>1032</v>
      </c>
      <c r="AV20" s="116"/>
      <c r="AW20" s="116">
        <f>3074+1550</f>
        <v>4624</v>
      </c>
      <c r="AX20" s="116">
        <f>AT20+AU20-AV20-AW20</f>
        <v>200072.23409409617</v>
      </c>
      <c r="AY20" s="116">
        <v>57863.25</v>
      </c>
      <c r="AZ20" s="172">
        <f t="shared" si="14"/>
        <v>142208.98409409617</v>
      </c>
      <c r="BA20" s="130">
        <v>321852.75</v>
      </c>
    </row>
    <row r="21" spans="1:53" ht="12.75">
      <c r="A21" s="1">
        <v>10</v>
      </c>
      <c r="B21" s="1" t="s">
        <v>12</v>
      </c>
      <c r="C21" s="1">
        <v>1323.3</v>
      </c>
      <c r="D21" s="1">
        <v>0</v>
      </c>
      <c r="E21" s="7">
        <f t="shared" si="1"/>
        <v>1323.3</v>
      </c>
      <c r="F21" s="5">
        <v>2.9</v>
      </c>
      <c r="G21" s="5">
        <v>6.98</v>
      </c>
      <c r="H21" s="5">
        <f t="shared" si="2"/>
        <v>9.88</v>
      </c>
      <c r="I21" s="28">
        <f t="shared" si="3"/>
        <v>78445.224</v>
      </c>
      <c r="J21" s="5">
        <f t="shared" si="4"/>
        <v>3.101611830899999</v>
      </c>
      <c r="K21" s="5">
        <f t="shared" si="5"/>
        <v>7.465258820579999</v>
      </c>
      <c r="L21" s="27">
        <f t="shared" si="6"/>
        <v>10.566870651479999</v>
      </c>
      <c r="M21" s="61">
        <f t="shared" si="7"/>
        <v>83898.83959862089</v>
      </c>
      <c r="N21" s="34">
        <f t="shared" si="8"/>
        <v>162344.06359862088</v>
      </c>
      <c r="O21" s="34">
        <v>37803.8</v>
      </c>
      <c r="P21" s="34">
        <v>53194.05</v>
      </c>
      <c r="Q21" s="5">
        <f t="shared" si="9"/>
        <v>124540.26359862088</v>
      </c>
      <c r="R21" s="30">
        <f t="shared" si="10"/>
        <v>177734.31359862088</v>
      </c>
      <c r="S21" s="1">
        <v>12247.12</v>
      </c>
      <c r="T21" s="1">
        <v>17157.08</v>
      </c>
      <c r="U21" s="1">
        <v>7318.12</v>
      </c>
      <c r="V21" s="1">
        <v>6106.04</v>
      </c>
      <c r="W21" s="1">
        <v>10404.64</v>
      </c>
      <c r="X21" s="1">
        <v>16498.88</v>
      </c>
      <c r="Y21" s="1">
        <v>7624.11</v>
      </c>
      <c r="Z21" s="1">
        <v>6062.78</v>
      </c>
      <c r="AA21" s="1">
        <v>6901.95</v>
      </c>
      <c r="AB21" s="1">
        <v>5558.55</v>
      </c>
      <c r="AC21" s="165">
        <f t="shared" si="15"/>
        <v>95879.27</v>
      </c>
      <c r="AD21" s="1">
        <v>0</v>
      </c>
      <c r="AE21" s="1">
        <v>6827.86</v>
      </c>
      <c r="AF21" s="1"/>
      <c r="AG21" s="1">
        <v>6327.84</v>
      </c>
      <c r="AH21" s="1">
        <v>0</v>
      </c>
      <c r="AI21" s="1">
        <v>14790.28</v>
      </c>
      <c r="AJ21" s="6">
        <f t="shared" si="11"/>
        <v>123825.25</v>
      </c>
      <c r="AK21" s="1">
        <f>545+150</f>
        <v>695</v>
      </c>
      <c r="AL21" s="1"/>
      <c r="AM21" s="1"/>
      <c r="AN21" s="1"/>
      <c r="AO21" s="6">
        <f t="shared" si="12"/>
        <v>124520.25</v>
      </c>
      <c r="AP21" s="91">
        <f t="shared" si="0"/>
        <v>53214.06359862088</v>
      </c>
      <c r="AQ21" s="10"/>
      <c r="AR21" s="10"/>
      <c r="AS21" s="34"/>
      <c r="AT21" s="116">
        <f t="shared" si="13"/>
        <v>53214.06359862088</v>
      </c>
      <c r="AU21" s="116"/>
      <c r="AV21" s="144">
        <f>24000+25662.28</f>
        <v>49662.28</v>
      </c>
      <c r="AW21" s="116"/>
      <c r="AX21" s="146">
        <f>AT21+AU21-AV21-AW21</f>
        <v>3551.783598620881</v>
      </c>
      <c r="AY21" s="116">
        <v>1027.22</v>
      </c>
      <c r="AZ21" s="172">
        <f t="shared" si="14"/>
        <v>2524.563598620881</v>
      </c>
      <c r="BA21" s="130">
        <v>70761.88</v>
      </c>
    </row>
    <row r="22" spans="1:53" ht="12.75" customHeight="1">
      <c r="A22" s="1">
        <v>11</v>
      </c>
      <c r="B22" s="1" t="s">
        <v>13</v>
      </c>
      <c r="C22" s="1">
        <v>499</v>
      </c>
      <c r="D22" s="1">
        <v>0</v>
      </c>
      <c r="E22" s="7">
        <f t="shared" si="1"/>
        <v>499</v>
      </c>
      <c r="F22" s="5">
        <v>2.9</v>
      </c>
      <c r="G22" s="5">
        <v>6.98</v>
      </c>
      <c r="H22" s="5">
        <f t="shared" si="2"/>
        <v>9.88</v>
      </c>
      <c r="I22" s="28">
        <f t="shared" si="3"/>
        <v>29580.720000000005</v>
      </c>
      <c r="J22" s="5">
        <f t="shared" si="4"/>
        <v>3.101611830899999</v>
      </c>
      <c r="K22" s="5">
        <f t="shared" si="5"/>
        <v>7.465258820579999</v>
      </c>
      <c r="L22" s="27">
        <f t="shared" si="6"/>
        <v>10.566870651479999</v>
      </c>
      <c r="M22" s="61">
        <f t="shared" si="7"/>
        <v>31637.210730531115</v>
      </c>
      <c r="N22" s="34">
        <f t="shared" si="8"/>
        <v>61217.93073053112</v>
      </c>
      <c r="O22" s="34">
        <v>47002.59</v>
      </c>
      <c r="P22" s="34">
        <v>12135.36</v>
      </c>
      <c r="Q22" s="5">
        <f t="shared" si="9"/>
        <v>14215.340730531127</v>
      </c>
      <c r="R22" s="30">
        <f t="shared" si="10"/>
        <v>26350.700730531127</v>
      </c>
      <c r="S22" s="1">
        <v>1396.07</v>
      </c>
      <c r="T22" s="1">
        <v>6218.91</v>
      </c>
      <c r="U22" s="1">
        <v>1095.81</v>
      </c>
      <c r="V22" s="1">
        <v>1351.88</v>
      </c>
      <c r="W22" s="1">
        <v>1095.81</v>
      </c>
      <c r="X22" s="1">
        <v>1095.81</v>
      </c>
      <c r="Y22" s="1">
        <v>1160.68</v>
      </c>
      <c r="Z22" s="1">
        <v>1160.68</v>
      </c>
      <c r="AA22" s="1">
        <v>1494.53</v>
      </c>
      <c r="AB22" s="1">
        <v>558.18</v>
      </c>
      <c r="AC22" s="165">
        <f t="shared" si="15"/>
        <v>16628.359999999997</v>
      </c>
      <c r="AD22" s="1">
        <v>0</v>
      </c>
      <c r="AE22" s="1">
        <v>2395.15</v>
      </c>
      <c r="AF22" s="1"/>
      <c r="AG22" s="1">
        <v>1425.74</v>
      </c>
      <c r="AH22" s="1">
        <v>0</v>
      </c>
      <c r="AI22" s="1">
        <v>9854.97</v>
      </c>
      <c r="AJ22" s="6">
        <f t="shared" si="11"/>
        <v>30304.22</v>
      </c>
      <c r="AK22" s="1"/>
      <c r="AL22" s="1"/>
      <c r="AM22" s="1"/>
      <c r="AN22" s="1"/>
      <c r="AO22" s="6">
        <f>AJ22+AK22+AL22+AM22+AN22</f>
        <v>30304.22</v>
      </c>
      <c r="AP22" s="136">
        <f t="shared" si="0"/>
        <v>-3953.519269468874</v>
      </c>
      <c r="AQ22" s="110"/>
      <c r="AR22" s="110"/>
      <c r="AS22" s="111"/>
      <c r="AT22" s="111">
        <f t="shared" si="13"/>
        <v>-3953.519269468874</v>
      </c>
      <c r="AU22" s="133"/>
      <c r="AV22" s="111"/>
      <c r="AW22" s="111"/>
      <c r="AX22" s="111"/>
      <c r="AY22" s="134"/>
      <c r="AZ22" s="172">
        <f t="shared" si="14"/>
        <v>0</v>
      </c>
      <c r="BA22" s="127">
        <v>11673.38</v>
      </c>
    </row>
    <row r="23" spans="1:53" ht="12.75">
      <c r="A23" s="1">
        <v>12</v>
      </c>
      <c r="B23" s="1" t="s">
        <v>14</v>
      </c>
      <c r="C23" s="1">
        <v>4616.5</v>
      </c>
      <c r="D23" s="1">
        <v>42.6</v>
      </c>
      <c r="E23" s="7">
        <f t="shared" si="1"/>
        <v>4659.1</v>
      </c>
      <c r="F23" s="5">
        <v>2.9</v>
      </c>
      <c r="G23" s="5">
        <v>7.35</v>
      </c>
      <c r="H23" s="5">
        <f t="shared" si="2"/>
        <v>10.25</v>
      </c>
      <c r="I23" s="28">
        <f t="shared" si="3"/>
        <v>286534.65</v>
      </c>
      <c r="J23" s="5">
        <f t="shared" si="4"/>
        <v>3.101611830899999</v>
      </c>
      <c r="K23" s="5">
        <f t="shared" si="5"/>
        <v>7.860981709349999</v>
      </c>
      <c r="L23" s="27">
        <f t="shared" si="6"/>
        <v>10.962593540249998</v>
      </c>
      <c r="M23" s="61">
        <f t="shared" si="7"/>
        <v>306454.91738027264</v>
      </c>
      <c r="N23" s="34">
        <f t="shared" si="8"/>
        <v>592989.5673802727</v>
      </c>
      <c r="O23" s="34"/>
      <c r="P23" s="34"/>
      <c r="Q23" s="5">
        <f t="shared" si="9"/>
        <v>592989.5673802727</v>
      </c>
      <c r="R23" s="30">
        <f t="shared" si="10"/>
        <v>592989.5673802727</v>
      </c>
      <c r="S23" s="1">
        <v>22922.69</v>
      </c>
      <c r="T23" s="1">
        <v>199679.25</v>
      </c>
      <c r="U23" s="1">
        <v>100651.07</v>
      </c>
      <c r="V23" s="1">
        <v>69041.13</v>
      </c>
      <c r="W23" s="1">
        <v>33604.95</v>
      </c>
      <c r="X23" s="1">
        <v>39344.82</v>
      </c>
      <c r="Y23" s="1">
        <v>26131.45</v>
      </c>
      <c r="Z23" s="1">
        <v>30374.36</v>
      </c>
      <c r="AA23" s="1">
        <v>22987.45</v>
      </c>
      <c r="AB23" s="1">
        <v>45882.85</v>
      </c>
      <c r="AC23" s="165">
        <f t="shared" si="15"/>
        <v>590620.02</v>
      </c>
      <c r="AD23" s="1">
        <v>0</v>
      </c>
      <c r="AE23" s="1">
        <v>28813.27</v>
      </c>
      <c r="AF23" s="1"/>
      <c r="AG23" s="1">
        <v>27197.2</v>
      </c>
      <c r="AH23" s="1">
        <v>0</v>
      </c>
      <c r="AI23" s="1">
        <v>31539.91</v>
      </c>
      <c r="AJ23" s="6">
        <f t="shared" si="11"/>
        <v>678170.4</v>
      </c>
      <c r="AK23" s="1"/>
      <c r="AL23" s="1"/>
      <c r="AM23" s="1"/>
      <c r="AN23" s="1"/>
      <c r="AO23" s="6">
        <f t="shared" si="12"/>
        <v>678170.4</v>
      </c>
      <c r="AP23" s="91">
        <f t="shared" si="0"/>
        <v>-85180.83261972736</v>
      </c>
      <c r="AQ23" s="10">
        <v>161161.65</v>
      </c>
      <c r="AR23" s="10"/>
      <c r="AS23" s="34"/>
      <c r="AT23" s="34">
        <f t="shared" si="13"/>
        <v>75980.81738027264</v>
      </c>
      <c r="AU23" s="116"/>
      <c r="AV23" s="34"/>
      <c r="AW23" s="116">
        <f>1167+8037</f>
        <v>9204</v>
      </c>
      <c r="AX23" s="116">
        <f>AT23+AU23-AV23-AW23</f>
        <v>66776.81738027264</v>
      </c>
      <c r="AY23" s="116">
        <v>19312.64</v>
      </c>
      <c r="AZ23" s="172">
        <f t="shared" si="14"/>
        <v>47464.17738027264</v>
      </c>
      <c r="BA23" s="130">
        <v>182011.17</v>
      </c>
    </row>
    <row r="24" spans="1:53" ht="12.75" customHeight="1">
      <c r="A24" s="1">
        <v>13</v>
      </c>
      <c r="B24" s="1" t="s">
        <v>15</v>
      </c>
      <c r="C24" s="1">
        <v>500.3</v>
      </c>
      <c r="D24" s="1">
        <v>0</v>
      </c>
      <c r="E24" s="7">
        <f t="shared" si="1"/>
        <v>500.3</v>
      </c>
      <c r="F24" s="5">
        <v>2.9</v>
      </c>
      <c r="G24" s="5">
        <v>6.98</v>
      </c>
      <c r="H24" s="5">
        <f t="shared" si="2"/>
        <v>9.88</v>
      </c>
      <c r="I24" s="28">
        <f t="shared" si="3"/>
        <v>29657.784000000007</v>
      </c>
      <c r="J24" s="5">
        <f t="shared" si="4"/>
        <v>3.101611830899999</v>
      </c>
      <c r="K24" s="5">
        <f t="shared" si="5"/>
        <v>7.465258820579999</v>
      </c>
      <c r="L24" s="27">
        <f t="shared" si="6"/>
        <v>10.566870651479999</v>
      </c>
      <c r="M24" s="61">
        <f t="shared" si="7"/>
        <v>31719.632321612662</v>
      </c>
      <c r="N24" s="34">
        <f t="shared" si="8"/>
        <v>61377.41632161267</v>
      </c>
      <c r="O24" s="34">
        <v>25941.35</v>
      </c>
      <c r="P24" s="34">
        <v>1131.67</v>
      </c>
      <c r="Q24" s="5">
        <f t="shared" si="9"/>
        <v>35436.06632161267</v>
      </c>
      <c r="R24" s="30">
        <f t="shared" si="10"/>
        <v>36567.73632161267</v>
      </c>
      <c r="S24" s="1">
        <v>2559.16</v>
      </c>
      <c r="T24" s="1">
        <v>5380.77</v>
      </c>
      <c r="U24" s="1">
        <v>2258.9</v>
      </c>
      <c r="V24" s="1">
        <v>2258.9</v>
      </c>
      <c r="W24" s="1">
        <v>2258.9</v>
      </c>
      <c r="X24" s="1">
        <v>28138.99</v>
      </c>
      <c r="Y24" s="1">
        <v>2403.99</v>
      </c>
      <c r="Z24" s="1">
        <v>1163.24</v>
      </c>
      <c r="AA24" s="1">
        <v>1163.24</v>
      </c>
      <c r="AB24" s="1">
        <v>559.17</v>
      </c>
      <c r="AC24" s="165">
        <f t="shared" si="15"/>
        <v>48145.259999999995</v>
      </c>
      <c r="AD24" s="1">
        <v>0</v>
      </c>
      <c r="AE24" s="1">
        <v>2396.72</v>
      </c>
      <c r="AF24" s="1"/>
      <c r="AG24" s="1">
        <v>1428.3</v>
      </c>
      <c r="AH24" s="1">
        <v>0</v>
      </c>
      <c r="AI24" s="1">
        <v>3623.66</v>
      </c>
      <c r="AJ24" s="6">
        <f t="shared" si="11"/>
        <v>55593.94</v>
      </c>
      <c r="AK24" s="1"/>
      <c r="AL24" s="1"/>
      <c r="AM24" s="1"/>
      <c r="AN24" s="1"/>
      <c r="AO24" s="6">
        <f t="shared" si="12"/>
        <v>55593.94</v>
      </c>
      <c r="AP24" s="136">
        <f t="shared" si="0"/>
        <v>-19026.203678387334</v>
      </c>
      <c r="AQ24" s="110"/>
      <c r="AR24" s="110"/>
      <c r="AS24" s="111"/>
      <c r="AT24" s="111">
        <f t="shared" si="13"/>
        <v>-19026.203678387334</v>
      </c>
      <c r="AU24" s="133"/>
      <c r="AV24" s="111"/>
      <c r="AW24" s="111"/>
      <c r="AX24" s="111"/>
      <c r="AY24" s="134"/>
      <c r="AZ24" s="172">
        <f t="shared" si="14"/>
        <v>0</v>
      </c>
      <c r="BA24" s="127">
        <v>65720.61</v>
      </c>
    </row>
    <row r="25" spans="1:53" ht="16.5" customHeight="1">
      <c r="A25" s="1">
        <v>14</v>
      </c>
      <c r="B25" s="1" t="s">
        <v>16</v>
      </c>
      <c r="C25" s="1">
        <v>1322.4</v>
      </c>
      <c r="D25" s="1">
        <v>0</v>
      </c>
      <c r="E25" s="7">
        <f t="shared" si="1"/>
        <v>1322.4</v>
      </c>
      <c r="F25" s="5">
        <v>2.9</v>
      </c>
      <c r="G25" s="5">
        <v>3.29</v>
      </c>
      <c r="H25" s="5">
        <f t="shared" si="2"/>
        <v>6.1899999999999995</v>
      </c>
      <c r="I25" s="28">
        <f t="shared" si="3"/>
        <v>49113.936</v>
      </c>
      <c r="J25" s="5">
        <f t="shared" si="4"/>
        <v>3.101611830899999</v>
      </c>
      <c r="K25" s="5">
        <f t="shared" si="5"/>
        <v>3.5187251460899995</v>
      </c>
      <c r="L25" s="27">
        <f t="shared" si="6"/>
        <v>6.620336976989998</v>
      </c>
      <c r="M25" s="61">
        <f t="shared" si="7"/>
        <v>52528.401710229446</v>
      </c>
      <c r="N25" s="34">
        <f t="shared" si="8"/>
        <v>101642.33771022945</v>
      </c>
      <c r="O25" s="34">
        <v>71732.5</v>
      </c>
      <c r="P25" s="34">
        <v>40395.5</v>
      </c>
      <c r="Q25" s="5">
        <f t="shared" si="9"/>
        <v>29909.837710229447</v>
      </c>
      <c r="R25" s="30">
        <f t="shared" si="10"/>
        <v>70305.33771022945</v>
      </c>
      <c r="S25" s="1">
        <v>2610.87</v>
      </c>
      <c r="T25" s="1">
        <v>2866.94</v>
      </c>
      <c r="U25" s="1">
        <v>17544.8</v>
      </c>
      <c r="V25" s="1">
        <v>2866.94</v>
      </c>
      <c r="W25" s="1">
        <v>3859.83</v>
      </c>
      <c r="X25" s="1">
        <v>10178.49</v>
      </c>
      <c r="Y25" s="1">
        <v>2782.78</v>
      </c>
      <c r="Z25" s="1">
        <v>4831.24</v>
      </c>
      <c r="AA25" s="1">
        <v>4423.96</v>
      </c>
      <c r="AB25" s="1">
        <v>1186.09</v>
      </c>
      <c r="AC25" s="165">
        <f t="shared" si="15"/>
        <v>53151.93999999999</v>
      </c>
      <c r="AD25" s="1">
        <v>0</v>
      </c>
      <c r="AE25" s="1">
        <v>4817.54</v>
      </c>
      <c r="AF25" s="1"/>
      <c r="AG25" s="1">
        <v>3047.84</v>
      </c>
      <c r="AH25" s="1">
        <v>0</v>
      </c>
      <c r="AI25" s="1">
        <v>6758.05</v>
      </c>
      <c r="AJ25" s="6">
        <f t="shared" si="11"/>
        <v>67775.37</v>
      </c>
      <c r="AK25" s="1">
        <f>3290</f>
        <v>3290</v>
      </c>
      <c r="AL25" s="1"/>
      <c r="AM25" s="1"/>
      <c r="AN25" s="1"/>
      <c r="AO25" s="6">
        <f t="shared" si="12"/>
        <v>71065.37</v>
      </c>
      <c r="AP25" s="136">
        <f t="shared" si="0"/>
        <v>-760.0322897705482</v>
      </c>
      <c r="AQ25" s="110"/>
      <c r="AR25" s="110"/>
      <c r="AS25" s="111"/>
      <c r="AT25" s="111">
        <f t="shared" si="13"/>
        <v>-760.0322897705482</v>
      </c>
      <c r="AU25" s="121"/>
      <c r="AV25" s="111"/>
      <c r="AW25" s="111"/>
      <c r="AX25" s="111"/>
      <c r="AY25" s="116"/>
      <c r="AZ25" s="172">
        <f t="shared" si="14"/>
        <v>0</v>
      </c>
      <c r="BA25" s="130">
        <v>59510.16</v>
      </c>
    </row>
    <row r="26" spans="1:53" ht="12.75" customHeight="1">
      <c r="A26" s="1">
        <v>15</v>
      </c>
      <c r="B26" s="1" t="s">
        <v>17</v>
      </c>
      <c r="C26" s="1">
        <v>1424.6</v>
      </c>
      <c r="D26" s="1">
        <v>0</v>
      </c>
      <c r="E26" s="7">
        <f t="shared" si="1"/>
        <v>1424.6</v>
      </c>
      <c r="F26" s="5">
        <v>2.9</v>
      </c>
      <c r="G26" s="5">
        <v>7.18</v>
      </c>
      <c r="H26" s="5">
        <f t="shared" si="2"/>
        <v>10.08</v>
      </c>
      <c r="I26" s="28">
        <f t="shared" si="3"/>
        <v>86159.80799999999</v>
      </c>
      <c r="J26" s="5">
        <f t="shared" si="4"/>
        <v>3.101611830899999</v>
      </c>
      <c r="K26" s="5">
        <f t="shared" si="5"/>
        <v>7.679163084779998</v>
      </c>
      <c r="L26" s="27">
        <f t="shared" si="6"/>
        <v>10.780774915679997</v>
      </c>
      <c r="M26" s="61">
        <f t="shared" si="7"/>
        <v>92149.75166926633</v>
      </c>
      <c r="N26" s="34">
        <f t="shared" si="8"/>
        <v>178309.55966926634</v>
      </c>
      <c r="O26" s="34">
        <v>86034.61</v>
      </c>
      <c r="P26" s="34">
        <v>41303.17</v>
      </c>
      <c r="Q26" s="5">
        <f t="shared" si="9"/>
        <v>92274.94966926634</v>
      </c>
      <c r="R26" s="30">
        <f t="shared" si="10"/>
        <v>133578.11966926634</v>
      </c>
      <c r="S26" s="1">
        <v>15983.85</v>
      </c>
      <c r="T26" s="1">
        <v>9413.6</v>
      </c>
      <c r="U26" s="1">
        <v>6458.5</v>
      </c>
      <c r="V26" s="1">
        <v>10843.71</v>
      </c>
      <c r="W26" s="1">
        <v>17695.85</v>
      </c>
      <c r="X26" s="1">
        <v>19743.37</v>
      </c>
      <c r="Y26" s="1">
        <v>12684.36</v>
      </c>
      <c r="Z26" s="1">
        <v>22665.4</v>
      </c>
      <c r="AA26" s="1">
        <v>17646.98</v>
      </c>
      <c r="AB26" s="1">
        <v>2631.64</v>
      </c>
      <c r="AC26" s="165">
        <f t="shared" si="15"/>
        <v>135767.26000000004</v>
      </c>
      <c r="AD26" s="1">
        <v>0</v>
      </c>
      <c r="AE26" s="1">
        <v>24069.67</v>
      </c>
      <c r="AF26" s="1"/>
      <c r="AG26" s="1">
        <v>18643.41</v>
      </c>
      <c r="AH26" s="1">
        <v>0</v>
      </c>
      <c r="AI26" s="1">
        <v>14178.68</v>
      </c>
      <c r="AJ26" s="6">
        <f t="shared" si="11"/>
        <v>192659.02000000005</v>
      </c>
      <c r="AK26" s="1">
        <f>6415+981.5+3171</f>
        <v>10567.5</v>
      </c>
      <c r="AL26" s="1"/>
      <c r="AM26" s="1"/>
      <c r="AN26" s="1"/>
      <c r="AO26" s="6">
        <f t="shared" si="12"/>
        <v>203226.52000000005</v>
      </c>
      <c r="AP26" s="136">
        <f aca="true" t="shared" si="16" ref="AP26:AP89">R26-AO26</f>
        <v>-69648.40033073371</v>
      </c>
      <c r="AQ26" s="110"/>
      <c r="AR26" s="110"/>
      <c r="AS26" s="111"/>
      <c r="AT26" s="111">
        <f t="shared" si="13"/>
        <v>-69648.40033073371</v>
      </c>
      <c r="AU26" s="121"/>
      <c r="AV26" s="111"/>
      <c r="AW26" s="111"/>
      <c r="AX26" s="111"/>
      <c r="AY26" s="116"/>
      <c r="AZ26" s="172">
        <f t="shared" si="14"/>
        <v>0</v>
      </c>
      <c r="BA26" s="130">
        <v>85010.94</v>
      </c>
    </row>
    <row r="27" spans="1:53" ht="12.75" customHeight="1">
      <c r="A27" s="1">
        <v>16</v>
      </c>
      <c r="B27" s="1" t="s">
        <v>18</v>
      </c>
      <c r="C27" s="1">
        <v>493.4</v>
      </c>
      <c r="D27" s="1">
        <v>0</v>
      </c>
      <c r="E27" s="7">
        <f t="shared" si="1"/>
        <v>493.4</v>
      </c>
      <c r="F27" s="5">
        <v>2.9</v>
      </c>
      <c r="G27" s="5">
        <v>6.98</v>
      </c>
      <c r="H27" s="5">
        <f t="shared" si="2"/>
        <v>9.88</v>
      </c>
      <c r="I27" s="28">
        <f t="shared" si="3"/>
        <v>29248.752</v>
      </c>
      <c r="J27" s="5">
        <f t="shared" si="4"/>
        <v>3.101611830899999</v>
      </c>
      <c r="K27" s="5">
        <f t="shared" si="5"/>
        <v>7.465258820579999</v>
      </c>
      <c r="L27" s="27">
        <f t="shared" si="6"/>
        <v>10.566870651479999</v>
      </c>
      <c r="M27" s="61">
        <f t="shared" si="7"/>
        <v>31282.16387664139</v>
      </c>
      <c r="N27" s="34">
        <f t="shared" si="8"/>
        <v>60530.91587664139</v>
      </c>
      <c r="O27" s="34"/>
      <c r="P27" s="34"/>
      <c r="Q27" s="5">
        <f t="shared" si="9"/>
        <v>60530.91587664139</v>
      </c>
      <c r="R27" s="30">
        <f t="shared" si="10"/>
        <v>60530.91587664139</v>
      </c>
      <c r="S27" s="1">
        <v>2786.52</v>
      </c>
      <c r="T27" s="1">
        <v>10139.13</v>
      </c>
      <c r="U27" s="1">
        <v>2269.09</v>
      </c>
      <c r="V27" s="1">
        <v>6242.09</v>
      </c>
      <c r="W27" s="1">
        <v>3223.08</v>
      </c>
      <c r="X27" s="1">
        <v>51917.32</v>
      </c>
      <c r="Y27" s="1">
        <v>8736.34</v>
      </c>
      <c r="Z27" s="1">
        <v>1697.93</v>
      </c>
      <c r="AA27" s="1">
        <v>1149.65</v>
      </c>
      <c r="AB27" s="1">
        <v>553.91</v>
      </c>
      <c r="AC27" s="165">
        <f t="shared" si="15"/>
        <v>88715.06</v>
      </c>
      <c r="AD27" s="1">
        <v>0</v>
      </c>
      <c r="AE27" s="1">
        <v>1777.54</v>
      </c>
      <c r="AF27" s="1"/>
      <c r="AG27" s="1">
        <v>1629.64</v>
      </c>
      <c r="AH27" s="1">
        <v>0</v>
      </c>
      <c r="AI27" s="1">
        <v>5320.87</v>
      </c>
      <c r="AJ27" s="6">
        <f t="shared" si="11"/>
        <v>97443.10999999999</v>
      </c>
      <c r="AK27" s="1"/>
      <c r="AL27" s="1"/>
      <c r="AM27" s="1"/>
      <c r="AN27" s="1"/>
      <c r="AO27" s="6">
        <f t="shared" si="12"/>
        <v>97443.10999999999</v>
      </c>
      <c r="AP27" s="136">
        <f t="shared" si="16"/>
        <v>-36912.1941233586</v>
      </c>
      <c r="AQ27" s="110">
        <v>14084.45</v>
      </c>
      <c r="AR27" s="110">
        <v>-12047.55</v>
      </c>
      <c r="AS27" s="111"/>
      <c r="AT27" s="111">
        <f t="shared" si="13"/>
        <v>-34875.294123358595</v>
      </c>
      <c r="AU27" s="121"/>
      <c r="AV27" s="111"/>
      <c r="AW27" s="111"/>
      <c r="AX27" s="111"/>
      <c r="AY27" s="116"/>
      <c r="AZ27" s="172">
        <f t="shared" si="14"/>
        <v>0</v>
      </c>
      <c r="BA27" s="130">
        <v>36903.67</v>
      </c>
    </row>
    <row r="28" spans="1:53" ht="12.75" customHeight="1">
      <c r="A28" s="1">
        <v>17</v>
      </c>
      <c r="B28" s="1" t="s">
        <v>19</v>
      </c>
      <c r="C28" s="1">
        <v>1357.3</v>
      </c>
      <c r="D28" s="1">
        <v>0</v>
      </c>
      <c r="E28" s="7">
        <f t="shared" si="1"/>
        <v>1357.3</v>
      </c>
      <c r="F28" s="5">
        <v>2.9</v>
      </c>
      <c r="G28" s="5">
        <v>6.98</v>
      </c>
      <c r="H28" s="5">
        <f t="shared" si="2"/>
        <v>9.88</v>
      </c>
      <c r="I28" s="28">
        <f t="shared" si="3"/>
        <v>80460.744</v>
      </c>
      <c r="J28" s="5">
        <f t="shared" si="4"/>
        <v>3.101611830899999</v>
      </c>
      <c r="K28" s="5">
        <f t="shared" si="5"/>
        <v>7.465258820579999</v>
      </c>
      <c r="L28" s="27">
        <f t="shared" si="6"/>
        <v>10.566870651479999</v>
      </c>
      <c r="M28" s="61">
        <f t="shared" si="7"/>
        <v>86054.48121152281</v>
      </c>
      <c r="N28" s="34">
        <f t="shared" si="8"/>
        <v>166515.22521152283</v>
      </c>
      <c r="O28" s="34">
        <v>82181.14</v>
      </c>
      <c r="P28" s="34">
        <v>10761.57</v>
      </c>
      <c r="Q28" s="5">
        <f t="shared" si="9"/>
        <v>84334.08521152283</v>
      </c>
      <c r="R28" s="30">
        <f t="shared" si="10"/>
        <v>95095.65521152283</v>
      </c>
      <c r="S28" s="1">
        <v>6205.19</v>
      </c>
      <c r="T28" s="1">
        <v>10894.14</v>
      </c>
      <c r="U28" s="1">
        <v>13399.44</v>
      </c>
      <c r="V28" s="1">
        <v>6081.39</v>
      </c>
      <c r="W28" s="1">
        <v>12807.69</v>
      </c>
      <c r="X28" s="1">
        <v>10644.6</v>
      </c>
      <c r="Y28" s="1">
        <v>7184.25</v>
      </c>
      <c r="Z28" s="1">
        <v>15883.26</v>
      </c>
      <c r="AA28" s="1">
        <v>2675.06</v>
      </c>
      <c r="AB28" s="1">
        <v>1035.51</v>
      </c>
      <c r="AC28" s="165">
        <f t="shared" si="15"/>
        <v>86810.52999999998</v>
      </c>
      <c r="AD28" s="1">
        <v>0</v>
      </c>
      <c r="AE28" s="1">
        <v>4860.4</v>
      </c>
      <c r="AF28" s="1"/>
      <c r="AG28" s="1">
        <v>4351.34</v>
      </c>
      <c r="AH28" s="1">
        <v>0</v>
      </c>
      <c r="AI28" s="1">
        <v>6396.44</v>
      </c>
      <c r="AJ28" s="6">
        <f t="shared" si="11"/>
        <v>102418.70999999998</v>
      </c>
      <c r="AK28" s="1"/>
      <c r="AL28" s="1"/>
      <c r="AM28" s="1"/>
      <c r="AN28" s="1"/>
      <c r="AO28" s="6">
        <f t="shared" si="12"/>
        <v>102418.70999999998</v>
      </c>
      <c r="AP28" s="136">
        <f t="shared" si="16"/>
        <v>-7323.054788477151</v>
      </c>
      <c r="AQ28" s="110"/>
      <c r="AR28" s="110"/>
      <c r="AS28" s="111"/>
      <c r="AT28" s="111">
        <f t="shared" si="13"/>
        <v>-7323.054788477151</v>
      </c>
      <c r="AU28" s="121"/>
      <c r="AV28" s="111"/>
      <c r="AW28" s="111"/>
      <c r="AX28" s="111"/>
      <c r="AY28" s="116"/>
      <c r="AZ28" s="172">
        <f t="shared" si="14"/>
        <v>0</v>
      </c>
      <c r="BA28" s="130">
        <v>127672.65</v>
      </c>
    </row>
    <row r="29" spans="1:53" ht="12.75" customHeight="1">
      <c r="A29" s="1">
        <v>18</v>
      </c>
      <c r="B29" s="84" t="s">
        <v>20</v>
      </c>
      <c r="C29" s="1">
        <v>2533.3</v>
      </c>
      <c r="D29" s="1">
        <v>0</v>
      </c>
      <c r="E29" s="7">
        <f t="shared" si="1"/>
        <v>2533.3</v>
      </c>
      <c r="F29" s="5">
        <v>2.9</v>
      </c>
      <c r="G29" s="5">
        <v>6.5</v>
      </c>
      <c r="H29" s="5">
        <f t="shared" si="2"/>
        <v>9.4</v>
      </c>
      <c r="I29" s="28">
        <f t="shared" si="3"/>
        <v>142878.12000000002</v>
      </c>
      <c r="J29" s="5">
        <f t="shared" si="4"/>
        <v>3.101611830899999</v>
      </c>
      <c r="K29" s="5">
        <f t="shared" si="5"/>
        <v>6.951888586499998</v>
      </c>
      <c r="L29" s="27">
        <f t="shared" si="6"/>
        <v>10.053500417399997</v>
      </c>
      <c r="M29" s="61">
        <f t="shared" si="7"/>
        <v>152811.19564439647</v>
      </c>
      <c r="N29" s="34">
        <f t="shared" si="8"/>
        <v>295689.31564439647</v>
      </c>
      <c r="O29" s="34"/>
      <c r="P29" s="34"/>
      <c r="Q29" s="5">
        <f t="shared" si="9"/>
        <v>295689.31564439647</v>
      </c>
      <c r="R29" s="30">
        <f t="shared" si="10"/>
        <v>295689.31564439647</v>
      </c>
      <c r="S29" s="1">
        <v>14338.26</v>
      </c>
      <c r="T29" s="1">
        <v>11302.3</v>
      </c>
      <c r="U29" s="1">
        <v>12274.74</v>
      </c>
      <c r="V29" s="1">
        <v>11914.69</v>
      </c>
      <c r="W29" s="1">
        <v>13939.73</v>
      </c>
      <c r="X29" s="1">
        <v>25592.63</v>
      </c>
      <c r="Y29" s="1">
        <v>107412.98</v>
      </c>
      <c r="Z29" s="1">
        <v>26799.09</v>
      </c>
      <c r="AA29" s="1">
        <v>15608.53</v>
      </c>
      <c r="AB29" s="1">
        <v>4541.12</v>
      </c>
      <c r="AC29" s="165">
        <f t="shared" si="15"/>
        <v>243724.07</v>
      </c>
      <c r="AD29" s="1">
        <v>64991.12</v>
      </c>
      <c r="AE29" s="1">
        <v>3058.51</v>
      </c>
      <c r="AF29" s="1">
        <v>23723.11</v>
      </c>
      <c r="AG29" s="1">
        <v>6920.24</v>
      </c>
      <c r="AH29" s="1">
        <v>6282.09</v>
      </c>
      <c r="AI29" s="1">
        <v>5755.46</v>
      </c>
      <c r="AJ29" s="6">
        <f t="shared" si="11"/>
        <v>354454.60000000003</v>
      </c>
      <c r="AK29" s="1"/>
      <c r="AL29" s="1"/>
      <c r="AM29" s="1"/>
      <c r="AN29" s="1"/>
      <c r="AO29" s="6">
        <f t="shared" si="12"/>
        <v>354454.60000000003</v>
      </c>
      <c r="AP29" s="136">
        <f t="shared" si="16"/>
        <v>-58765.284355603566</v>
      </c>
      <c r="AQ29" s="110"/>
      <c r="AR29" s="110">
        <v>20924.09</v>
      </c>
      <c r="AS29" s="111"/>
      <c r="AT29" s="111">
        <f t="shared" si="13"/>
        <v>-37841.19435560357</v>
      </c>
      <c r="AU29" s="121"/>
      <c r="AV29" s="111"/>
      <c r="AW29" s="111"/>
      <c r="AX29" s="111"/>
      <c r="AY29" s="116"/>
      <c r="AZ29" s="172">
        <f t="shared" si="14"/>
        <v>0</v>
      </c>
      <c r="BA29" s="130">
        <v>199143.87</v>
      </c>
    </row>
    <row r="30" spans="1:53" ht="12.75">
      <c r="A30" s="1">
        <v>19</v>
      </c>
      <c r="B30" s="1" t="s">
        <v>21</v>
      </c>
      <c r="C30" s="1">
        <v>3201.6</v>
      </c>
      <c r="D30" s="1">
        <v>0</v>
      </c>
      <c r="E30" s="7">
        <f t="shared" si="1"/>
        <v>3201.6</v>
      </c>
      <c r="F30" s="5">
        <v>2.9</v>
      </c>
      <c r="G30" s="5">
        <v>7.46</v>
      </c>
      <c r="H30" s="5">
        <f t="shared" si="2"/>
        <v>10.36</v>
      </c>
      <c r="I30" s="28">
        <f t="shared" si="3"/>
        <v>199011.45599999995</v>
      </c>
      <c r="J30" s="5">
        <f t="shared" si="4"/>
        <v>3.101611830899999</v>
      </c>
      <c r="K30" s="5">
        <f t="shared" si="5"/>
        <v>7.978629054659999</v>
      </c>
      <c r="L30" s="27">
        <f t="shared" si="6"/>
        <v>11.080240885559999</v>
      </c>
      <c r="M30" s="61">
        <f t="shared" si="7"/>
        <v>212846.99531525333</v>
      </c>
      <c r="N30" s="34">
        <f t="shared" si="8"/>
        <v>411858.4513152533</v>
      </c>
      <c r="O30" s="34">
        <v>102436.82</v>
      </c>
      <c r="P30" s="34">
        <v>112265.18</v>
      </c>
      <c r="Q30" s="5">
        <f t="shared" si="9"/>
        <v>309421.63131525327</v>
      </c>
      <c r="R30" s="30">
        <f t="shared" si="10"/>
        <v>421686.81131525326</v>
      </c>
      <c r="S30" s="1">
        <v>15074.43</v>
      </c>
      <c r="T30" s="1">
        <v>37368.58</v>
      </c>
      <c r="U30" s="1">
        <v>20758.18</v>
      </c>
      <c r="V30" s="1">
        <v>16039.98</v>
      </c>
      <c r="W30" s="1">
        <v>35720.15</v>
      </c>
      <c r="X30" s="1">
        <v>19599.79</v>
      </c>
      <c r="Y30" s="1">
        <v>19196</v>
      </c>
      <c r="Z30" s="1">
        <v>28257.79</v>
      </c>
      <c r="AA30" s="1">
        <v>41054.7</v>
      </c>
      <c r="AB30" s="1">
        <v>18311.62</v>
      </c>
      <c r="AC30" s="165">
        <f t="shared" si="15"/>
        <v>251381.22000000003</v>
      </c>
      <c r="AD30" s="1">
        <v>0</v>
      </c>
      <c r="AE30" s="1">
        <v>14621.47</v>
      </c>
      <c r="AF30" s="1"/>
      <c r="AG30" s="1">
        <v>23507.85</v>
      </c>
      <c r="AH30" s="1">
        <v>0</v>
      </c>
      <c r="AI30" s="1">
        <v>32778.95</v>
      </c>
      <c r="AJ30" s="6">
        <f t="shared" si="11"/>
        <v>322289.49</v>
      </c>
      <c r="AK30" s="1"/>
      <c r="AL30" s="1"/>
      <c r="AM30" s="1"/>
      <c r="AN30" s="1"/>
      <c r="AO30" s="6">
        <f t="shared" si="12"/>
        <v>322289.49</v>
      </c>
      <c r="AP30" s="91">
        <f t="shared" si="16"/>
        <v>99397.32131525327</v>
      </c>
      <c r="AQ30" s="10"/>
      <c r="AR30" s="10"/>
      <c r="AS30" s="34"/>
      <c r="AT30" s="116">
        <f t="shared" si="13"/>
        <v>99397.32131525327</v>
      </c>
      <c r="AU30" s="116"/>
      <c r="AV30" s="116"/>
      <c r="AW30" s="116">
        <v>1590</v>
      </c>
      <c r="AX30" s="116">
        <f>AT30+AU30-AV30-AW30</f>
        <v>97807.32131525327</v>
      </c>
      <c r="AY30" s="116">
        <v>28287.03</v>
      </c>
      <c r="AZ30" s="172">
        <f t="shared" si="14"/>
        <v>69520.29131525327</v>
      </c>
      <c r="BA30" s="130">
        <v>207782.29</v>
      </c>
    </row>
    <row r="31" spans="1:53" ht="12.75">
      <c r="A31" s="1">
        <v>20</v>
      </c>
      <c r="B31" s="1" t="s">
        <v>22</v>
      </c>
      <c r="C31" s="1">
        <v>3178.4</v>
      </c>
      <c r="D31" s="1">
        <v>0</v>
      </c>
      <c r="E31" s="7">
        <f t="shared" si="1"/>
        <v>3178.4</v>
      </c>
      <c r="F31" s="5">
        <v>2.9</v>
      </c>
      <c r="G31" s="5">
        <v>7.09</v>
      </c>
      <c r="H31" s="5">
        <f t="shared" si="2"/>
        <v>9.99</v>
      </c>
      <c r="I31" s="28">
        <f t="shared" si="3"/>
        <v>190513.296</v>
      </c>
      <c r="J31" s="5">
        <f t="shared" si="4"/>
        <v>3.101611830899999</v>
      </c>
      <c r="K31" s="5">
        <f t="shared" si="5"/>
        <v>7.582906165889998</v>
      </c>
      <c r="L31" s="27">
        <f t="shared" si="6"/>
        <v>10.684517996789998</v>
      </c>
      <c r="M31" s="61">
        <f t="shared" si="7"/>
        <v>203758.032005984</v>
      </c>
      <c r="N31" s="34">
        <f t="shared" si="8"/>
        <v>394271.32800598396</v>
      </c>
      <c r="O31" s="34">
        <v>39545.57</v>
      </c>
      <c r="P31" s="34">
        <v>79969.37</v>
      </c>
      <c r="Q31" s="5">
        <f t="shared" si="9"/>
        <v>354725.75800598395</v>
      </c>
      <c r="R31" s="30">
        <f t="shared" si="10"/>
        <v>434695.12800598395</v>
      </c>
      <c r="S31" s="1">
        <v>34536.98</v>
      </c>
      <c r="T31" s="1">
        <v>22539.67</v>
      </c>
      <c r="U31" s="1">
        <v>15530.37</v>
      </c>
      <c r="V31" s="1">
        <v>23997.84</v>
      </c>
      <c r="W31" s="1">
        <v>28861.58</v>
      </c>
      <c r="X31" s="1">
        <v>17886.83</v>
      </c>
      <c r="Y31" s="1">
        <v>21733.58</v>
      </c>
      <c r="Z31" s="1">
        <v>14739.87</v>
      </c>
      <c r="AA31" s="1">
        <v>16373.65</v>
      </c>
      <c r="AB31" s="1">
        <v>6055.49</v>
      </c>
      <c r="AC31" s="165">
        <f t="shared" si="15"/>
        <v>202255.86000000002</v>
      </c>
      <c r="AD31" s="1">
        <v>0</v>
      </c>
      <c r="AE31" s="1">
        <v>10090.52</v>
      </c>
      <c r="AF31" s="1"/>
      <c r="AG31" s="1">
        <v>24245.8</v>
      </c>
      <c r="AH31" s="1">
        <v>0</v>
      </c>
      <c r="AI31" s="1">
        <v>28579.75</v>
      </c>
      <c r="AJ31" s="6">
        <f t="shared" si="11"/>
        <v>265171.93</v>
      </c>
      <c r="AK31" s="1"/>
      <c r="AL31" s="1"/>
      <c r="AM31" s="1">
        <v>800</v>
      </c>
      <c r="AN31" s="1"/>
      <c r="AO31" s="6">
        <f t="shared" si="12"/>
        <v>265971.93</v>
      </c>
      <c r="AP31" s="91">
        <f t="shared" si="16"/>
        <v>168723.19800598396</v>
      </c>
      <c r="AQ31" s="10"/>
      <c r="AR31" s="10"/>
      <c r="AS31" s="34"/>
      <c r="AT31" s="116">
        <f t="shared" si="13"/>
        <v>168723.19800598396</v>
      </c>
      <c r="AU31" s="116"/>
      <c r="AV31" s="116"/>
      <c r="AW31" s="116"/>
      <c r="AX31" s="116">
        <f>AT31+AU31-AV31-AW31</f>
        <v>168723.19800598396</v>
      </c>
      <c r="AY31" s="116">
        <v>48796.74</v>
      </c>
      <c r="AZ31" s="172">
        <f t="shared" si="14"/>
        <v>119926.45800598396</v>
      </c>
      <c r="BA31" s="130">
        <v>351099.4</v>
      </c>
    </row>
    <row r="32" spans="1:53" ht="12.75">
      <c r="A32" s="1">
        <v>21</v>
      </c>
      <c r="B32" s="84" t="s">
        <v>23</v>
      </c>
      <c r="C32" s="1">
        <v>1992.6</v>
      </c>
      <c r="D32" s="1">
        <v>43.3</v>
      </c>
      <c r="E32" s="7">
        <f t="shared" si="1"/>
        <v>2035.8999999999999</v>
      </c>
      <c r="F32" s="5">
        <v>2.9</v>
      </c>
      <c r="G32" s="5">
        <v>7.26</v>
      </c>
      <c r="H32" s="5">
        <f t="shared" si="2"/>
        <v>10.16</v>
      </c>
      <c r="I32" s="28">
        <f t="shared" si="3"/>
        <v>124108.46399999999</v>
      </c>
      <c r="J32" s="5">
        <f t="shared" si="4"/>
        <v>3.101611830899999</v>
      </c>
      <c r="K32" s="5">
        <f t="shared" si="5"/>
        <v>7.764724790459999</v>
      </c>
      <c r="L32" s="27">
        <f t="shared" si="6"/>
        <v>10.866336621359999</v>
      </c>
      <c r="M32" s="61">
        <f t="shared" si="7"/>
        <v>132736.6483645609</v>
      </c>
      <c r="N32" s="34">
        <f t="shared" si="8"/>
        <v>256845.1123645609</v>
      </c>
      <c r="O32" s="34"/>
      <c r="P32" s="34"/>
      <c r="Q32" s="5">
        <f t="shared" si="9"/>
        <v>256845.1123645609</v>
      </c>
      <c r="R32" s="30">
        <f t="shared" si="10"/>
        <v>256845.1123645609</v>
      </c>
      <c r="S32" s="1">
        <v>12167.92</v>
      </c>
      <c r="T32" s="1">
        <v>11369.13</v>
      </c>
      <c r="U32" s="1">
        <v>10156.15</v>
      </c>
      <c r="V32" s="1">
        <v>8645.33</v>
      </c>
      <c r="W32" s="1">
        <v>11508.77</v>
      </c>
      <c r="X32" s="1">
        <v>14289.3</v>
      </c>
      <c r="Y32" s="1">
        <v>12842.73</v>
      </c>
      <c r="Z32" s="1">
        <v>13266.8</v>
      </c>
      <c r="AA32" s="1">
        <v>9740.95</v>
      </c>
      <c r="AB32" s="1">
        <v>3683.96</v>
      </c>
      <c r="AC32" s="165">
        <f t="shared" si="15"/>
        <v>107671.04000000001</v>
      </c>
      <c r="AD32" s="1">
        <v>4723.8</v>
      </c>
      <c r="AE32" s="1">
        <v>2457.7</v>
      </c>
      <c r="AF32" s="1">
        <v>5048.04</v>
      </c>
      <c r="AG32" s="1">
        <v>7483.41</v>
      </c>
      <c r="AH32" s="1">
        <v>5048.04</v>
      </c>
      <c r="AI32" s="1">
        <v>4401.89</v>
      </c>
      <c r="AJ32" s="6">
        <f t="shared" si="11"/>
        <v>136833.92</v>
      </c>
      <c r="AK32" s="1"/>
      <c r="AL32" s="1"/>
      <c r="AM32" s="1"/>
      <c r="AN32" s="1"/>
      <c r="AO32" s="6">
        <f t="shared" si="12"/>
        <v>136833.92</v>
      </c>
      <c r="AP32" s="91">
        <f t="shared" si="16"/>
        <v>120011.19236456088</v>
      </c>
      <c r="AQ32" s="10">
        <v>52427.34</v>
      </c>
      <c r="AR32" s="10">
        <v>6079.89</v>
      </c>
      <c r="AS32" s="34"/>
      <c r="AT32" s="116">
        <f t="shared" si="13"/>
        <v>178518.4223645609</v>
      </c>
      <c r="AU32" s="116"/>
      <c r="AV32" s="144">
        <v>38313.21</v>
      </c>
      <c r="AW32" s="116"/>
      <c r="AX32" s="116">
        <f>AT32+AU32-AV32-AW32</f>
        <v>140205.2123645609</v>
      </c>
      <c r="AY32" s="116">
        <v>40549</v>
      </c>
      <c r="AZ32" s="172">
        <f t="shared" si="14"/>
        <v>99656.2123645609</v>
      </c>
      <c r="BA32" s="130">
        <v>81968.81</v>
      </c>
    </row>
    <row r="33" spans="1:53" ht="12.75">
      <c r="A33" s="1">
        <v>22</v>
      </c>
      <c r="B33" s="84" t="s">
        <v>24</v>
      </c>
      <c r="C33" s="1">
        <v>2152.4</v>
      </c>
      <c r="D33" s="1">
        <v>638.3</v>
      </c>
      <c r="E33" s="7">
        <f t="shared" si="1"/>
        <v>2790.7</v>
      </c>
      <c r="F33" s="5">
        <v>2.9</v>
      </c>
      <c r="G33" s="5">
        <v>7.18</v>
      </c>
      <c r="H33" s="5">
        <f t="shared" si="2"/>
        <v>10.08</v>
      </c>
      <c r="I33" s="28">
        <f t="shared" si="3"/>
        <v>168781.536</v>
      </c>
      <c r="J33" s="5">
        <f t="shared" si="4"/>
        <v>3.101611830899999</v>
      </c>
      <c r="K33" s="5">
        <f t="shared" si="5"/>
        <v>7.679163084779998</v>
      </c>
      <c r="L33" s="27">
        <f t="shared" si="6"/>
        <v>10.780774915679997</v>
      </c>
      <c r="M33" s="61">
        <f t="shared" si="7"/>
        <v>180515.45134312898</v>
      </c>
      <c r="N33" s="34">
        <f t="shared" si="8"/>
        <v>349296.987343129</v>
      </c>
      <c r="O33" s="34">
        <v>73642.93</v>
      </c>
      <c r="P33" s="34"/>
      <c r="Q33" s="5">
        <f t="shared" si="9"/>
        <v>275654.057343129</v>
      </c>
      <c r="R33" s="30">
        <f t="shared" si="10"/>
        <v>275654.057343129</v>
      </c>
      <c r="S33" s="1">
        <v>24410.46</v>
      </c>
      <c r="T33" s="1">
        <v>13371.06</v>
      </c>
      <c r="U33" s="1">
        <v>17129.53</v>
      </c>
      <c r="V33" s="1">
        <v>15027.32</v>
      </c>
      <c r="W33" s="1">
        <v>20733.61</v>
      </c>
      <c r="X33" s="1">
        <v>22148.58</v>
      </c>
      <c r="Y33" s="1">
        <v>44705.27</v>
      </c>
      <c r="Z33" s="1">
        <v>28681.8</v>
      </c>
      <c r="AA33" s="1">
        <v>18115.77</v>
      </c>
      <c r="AB33" s="1">
        <v>9126.23</v>
      </c>
      <c r="AC33" s="165">
        <f t="shared" si="15"/>
        <v>213449.62999999998</v>
      </c>
      <c r="AD33" s="1">
        <v>5146.34</v>
      </c>
      <c r="AE33" s="1">
        <v>3757.27</v>
      </c>
      <c r="AF33" s="1">
        <v>33284.62</v>
      </c>
      <c r="AG33" s="1">
        <v>10511.04</v>
      </c>
      <c r="AH33" s="1">
        <v>7355.03</v>
      </c>
      <c r="AI33" s="1">
        <v>11665.71</v>
      </c>
      <c r="AJ33" s="6">
        <f t="shared" si="11"/>
        <v>285169.64</v>
      </c>
      <c r="AK33" s="1"/>
      <c r="AL33" s="1"/>
      <c r="AM33" s="1"/>
      <c r="AN33" s="1"/>
      <c r="AO33" s="6">
        <f t="shared" si="12"/>
        <v>285169.64</v>
      </c>
      <c r="AP33" s="91">
        <f t="shared" si="16"/>
        <v>-9515.582656871004</v>
      </c>
      <c r="AQ33" s="10"/>
      <c r="AR33" s="10"/>
      <c r="AS33" s="34">
        <v>106302</v>
      </c>
      <c r="AT33" s="34">
        <f t="shared" si="13"/>
        <v>96786.417343129</v>
      </c>
      <c r="AU33" s="116"/>
      <c r="AV33" s="34"/>
      <c r="AW33" s="116"/>
      <c r="AX33" s="116">
        <f>AT33+AU33-AV33-AW33</f>
        <v>96786.417343129</v>
      </c>
      <c r="AY33" s="116">
        <v>27991.77</v>
      </c>
      <c r="AZ33" s="172">
        <f t="shared" si="14"/>
        <v>68794.64734312899</v>
      </c>
      <c r="BA33" s="130">
        <v>814239.22</v>
      </c>
    </row>
    <row r="34" spans="1:53" ht="12.75" customHeight="1">
      <c r="A34" s="1">
        <v>23</v>
      </c>
      <c r="B34" s="84" t="s">
        <v>25</v>
      </c>
      <c r="C34" s="1">
        <v>2330.2</v>
      </c>
      <c r="D34" s="1">
        <v>175.3</v>
      </c>
      <c r="E34" s="7">
        <f t="shared" si="1"/>
        <v>2505.5</v>
      </c>
      <c r="F34" s="5">
        <v>2.9</v>
      </c>
      <c r="G34" s="5">
        <v>7.18</v>
      </c>
      <c r="H34" s="5">
        <f t="shared" si="2"/>
        <v>10.08</v>
      </c>
      <c r="I34" s="28">
        <f t="shared" si="3"/>
        <v>151532.63999999998</v>
      </c>
      <c r="J34" s="5">
        <f t="shared" si="4"/>
        <v>3.101611830899999</v>
      </c>
      <c r="K34" s="5">
        <f t="shared" si="5"/>
        <v>7.679163084779998</v>
      </c>
      <c r="L34" s="27">
        <f t="shared" si="6"/>
        <v>10.780774915679997</v>
      </c>
      <c r="M34" s="61">
        <f t="shared" si="7"/>
        <v>162067.38930741738</v>
      </c>
      <c r="N34" s="34">
        <f t="shared" si="8"/>
        <v>313600.02930741734</v>
      </c>
      <c r="O34" s="34">
        <v>99641.91</v>
      </c>
      <c r="P34" s="34"/>
      <c r="Q34" s="5">
        <f t="shared" si="9"/>
        <v>213958.11930741734</v>
      </c>
      <c r="R34" s="30">
        <f t="shared" si="10"/>
        <v>213958.11930741734</v>
      </c>
      <c r="S34" s="1">
        <v>18609.88</v>
      </c>
      <c r="T34" s="1">
        <v>11441.38</v>
      </c>
      <c r="U34" s="1">
        <v>16524.75</v>
      </c>
      <c r="V34" s="1">
        <v>14411.41</v>
      </c>
      <c r="W34" s="1">
        <v>28647.71</v>
      </c>
      <c r="X34" s="1">
        <v>25388.27</v>
      </c>
      <c r="Y34" s="1">
        <v>35470.3</v>
      </c>
      <c r="Z34" s="1">
        <v>66093.59</v>
      </c>
      <c r="AA34" s="1">
        <v>20733.4</v>
      </c>
      <c r="AB34" s="1">
        <v>9643.59</v>
      </c>
      <c r="AC34" s="165">
        <f t="shared" si="15"/>
        <v>246964.28</v>
      </c>
      <c r="AD34" s="1">
        <v>3784.5</v>
      </c>
      <c r="AE34" s="1">
        <v>4165.54</v>
      </c>
      <c r="AF34" s="1">
        <v>8623.16</v>
      </c>
      <c r="AG34" s="1">
        <v>11434.98</v>
      </c>
      <c r="AH34" s="1">
        <v>22927.44</v>
      </c>
      <c r="AI34" s="1">
        <v>7972.6</v>
      </c>
      <c r="AJ34" s="6">
        <f t="shared" si="11"/>
        <v>305872.49999999994</v>
      </c>
      <c r="AK34" s="1">
        <f>97+800</f>
        <v>897</v>
      </c>
      <c r="AL34" s="1"/>
      <c r="AM34" s="1"/>
      <c r="AN34" s="1"/>
      <c r="AO34" s="6">
        <f t="shared" si="12"/>
        <v>306769.49999999994</v>
      </c>
      <c r="AP34" s="136">
        <f t="shared" si="16"/>
        <v>-92811.3806925826</v>
      </c>
      <c r="AQ34" s="110"/>
      <c r="AR34" s="110"/>
      <c r="AS34" s="111">
        <v>32693.55</v>
      </c>
      <c r="AT34" s="111">
        <f t="shared" si="13"/>
        <v>-60117.830692582604</v>
      </c>
      <c r="AU34" s="121"/>
      <c r="AV34" s="111"/>
      <c r="AW34" s="111"/>
      <c r="AX34" s="111"/>
      <c r="AY34" s="116"/>
      <c r="AZ34" s="172">
        <f t="shared" si="14"/>
        <v>0</v>
      </c>
      <c r="BA34" s="130">
        <v>650893.19</v>
      </c>
    </row>
    <row r="35" spans="1:53" ht="12.75">
      <c r="A35" s="1">
        <v>24</v>
      </c>
      <c r="B35" s="84" t="s">
        <v>26</v>
      </c>
      <c r="C35" s="1">
        <v>3209.5</v>
      </c>
      <c r="D35" s="1">
        <v>159.4</v>
      </c>
      <c r="E35" s="7">
        <f t="shared" si="1"/>
        <v>3368.9</v>
      </c>
      <c r="F35" s="5">
        <v>2.9</v>
      </c>
      <c r="G35" s="5">
        <v>7.26</v>
      </c>
      <c r="H35" s="5">
        <f t="shared" si="2"/>
        <v>10.16</v>
      </c>
      <c r="I35" s="28">
        <f t="shared" si="3"/>
        <v>205368.14400000003</v>
      </c>
      <c r="J35" s="5">
        <f t="shared" si="4"/>
        <v>3.101611830899999</v>
      </c>
      <c r="K35" s="5">
        <f t="shared" si="5"/>
        <v>7.764724790459999</v>
      </c>
      <c r="L35" s="27">
        <f t="shared" si="6"/>
        <v>10.866336621359999</v>
      </c>
      <c r="M35" s="61">
        <f t="shared" si="7"/>
        <v>219645.60866219818</v>
      </c>
      <c r="N35" s="34">
        <f t="shared" si="8"/>
        <v>425013.7526621982</v>
      </c>
      <c r="O35" s="34"/>
      <c r="P35" s="34"/>
      <c r="Q35" s="5">
        <f t="shared" si="9"/>
        <v>425013.7526621982</v>
      </c>
      <c r="R35" s="30">
        <f t="shared" si="10"/>
        <v>425013.7526621982</v>
      </c>
      <c r="S35" s="1">
        <v>20682.55</v>
      </c>
      <c r="T35" s="1">
        <v>17873.67</v>
      </c>
      <c r="U35" s="1">
        <v>39370.16</v>
      </c>
      <c r="V35" s="1">
        <v>14543.05</v>
      </c>
      <c r="W35" s="1">
        <v>15867.19</v>
      </c>
      <c r="X35" s="1">
        <v>21552.6</v>
      </c>
      <c r="Y35" s="1">
        <v>20512.79</v>
      </c>
      <c r="Z35" s="1">
        <v>19320.69</v>
      </c>
      <c r="AA35" s="1">
        <v>15673.69</v>
      </c>
      <c r="AB35" s="1">
        <v>6327.01</v>
      </c>
      <c r="AC35" s="165">
        <f t="shared" si="15"/>
        <v>191723.40000000002</v>
      </c>
      <c r="AD35" s="1">
        <v>6979.15</v>
      </c>
      <c r="AE35" s="1">
        <v>4789.18</v>
      </c>
      <c r="AF35" s="1">
        <v>24502.9</v>
      </c>
      <c r="AG35" s="1">
        <v>11549.38</v>
      </c>
      <c r="AH35" s="1">
        <v>11818.98</v>
      </c>
      <c r="AI35" s="1">
        <v>7529.63</v>
      </c>
      <c r="AJ35" s="6">
        <f t="shared" si="11"/>
        <v>258892.62000000002</v>
      </c>
      <c r="AK35" s="1"/>
      <c r="AL35" s="1"/>
      <c r="AM35" s="1"/>
      <c r="AN35" s="1">
        <v>350</v>
      </c>
      <c r="AO35" s="6">
        <f t="shared" si="12"/>
        <v>259242.62000000002</v>
      </c>
      <c r="AP35" s="91">
        <f t="shared" si="16"/>
        <v>165771.1326621982</v>
      </c>
      <c r="AQ35" s="10"/>
      <c r="AR35" s="10">
        <v>3520.33</v>
      </c>
      <c r="AS35" s="34"/>
      <c r="AT35" s="116">
        <f t="shared" si="13"/>
        <v>169291.46266219817</v>
      </c>
      <c r="AU35" s="116"/>
      <c r="AV35" s="116"/>
      <c r="AW35" s="116"/>
      <c r="AX35" s="116">
        <f>AT35+AU35-AV35-AW35</f>
        <v>169291.46266219817</v>
      </c>
      <c r="AY35" s="116">
        <v>48961.09</v>
      </c>
      <c r="AZ35" s="172">
        <f t="shared" si="14"/>
        <v>120330.37266219818</v>
      </c>
      <c r="BA35" s="130">
        <v>116240.97</v>
      </c>
    </row>
    <row r="36" spans="1:53" ht="12.75">
      <c r="A36" s="1">
        <v>25</v>
      </c>
      <c r="B36" s="84" t="s">
        <v>27</v>
      </c>
      <c r="C36" s="1">
        <v>839</v>
      </c>
      <c r="D36" s="1">
        <v>0</v>
      </c>
      <c r="E36" s="7">
        <f t="shared" si="1"/>
        <v>839</v>
      </c>
      <c r="F36" s="5">
        <v>2.9</v>
      </c>
      <c r="G36" s="5">
        <v>7.65</v>
      </c>
      <c r="H36" s="5">
        <f t="shared" si="2"/>
        <v>10.55</v>
      </c>
      <c r="I36" s="28">
        <f t="shared" si="3"/>
        <v>53108.700000000004</v>
      </c>
      <c r="J36" s="5">
        <f t="shared" si="4"/>
        <v>3.101611830899999</v>
      </c>
      <c r="K36" s="5">
        <f t="shared" si="5"/>
        <v>8.181838105649998</v>
      </c>
      <c r="L36" s="27">
        <f t="shared" si="6"/>
        <v>11.283449936549998</v>
      </c>
      <c r="M36" s="61">
        <f t="shared" si="7"/>
        <v>56800.88698059269</v>
      </c>
      <c r="N36" s="34">
        <f t="shared" si="8"/>
        <v>109909.58698059269</v>
      </c>
      <c r="O36" s="34"/>
      <c r="P36" s="34"/>
      <c r="Q36" s="5">
        <f t="shared" si="9"/>
        <v>109909.58698059269</v>
      </c>
      <c r="R36" s="30">
        <f t="shared" si="10"/>
        <v>109909.58698059269</v>
      </c>
      <c r="S36" s="1">
        <v>5984.92</v>
      </c>
      <c r="T36" s="1">
        <v>10572.84</v>
      </c>
      <c r="U36" s="1">
        <v>6736.31</v>
      </c>
      <c r="V36" s="1">
        <v>3566.39</v>
      </c>
      <c r="W36" s="1">
        <v>5207.32</v>
      </c>
      <c r="X36" s="1">
        <v>4970.83</v>
      </c>
      <c r="Y36" s="1">
        <v>13047.2</v>
      </c>
      <c r="Z36" s="1">
        <v>20570.13</v>
      </c>
      <c r="AA36" s="1">
        <v>5753.01</v>
      </c>
      <c r="AB36" s="1">
        <v>1580.86</v>
      </c>
      <c r="AC36" s="165">
        <f t="shared" si="15"/>
        <v>77989.81</v>
      </c>
      <c r="AD36" s="1">
        <v>1238.19</v>
      </c>
      <c r="AE36" s="1">
        <v>983.56</v>
      </c>
      <c r="AF36" s="1">
        <v>2020.21</v>
      </c>
      <c r="AG36" s="1">
        <v>2465.27</v>
      </c>
      <c r="AH36" s="1">
        <v>2477.12</v>
      </c>
      <c r="AI36" s="1">
        <v>1782.41</v>
      </c>
      <c r="AJ36" s="6">
        <f t="shared" si="11"/>
        <v>88956.57</v>
      </c>
      <c r="AK36" s="1"/>
      <c r="AL36" s="1"/>
      <c r="AM36" s="1">
        <f>1013.01</f>
        <v>1013.01</v>
      </c>
      <c r="AN36" s="1">
        <v>350</v>
      </c>
      <c r="AO36" s="6">
        <f t="shared" si="12"/>
        <v>90319.58</v>
      </c>
      <c r="AP36" s="91">
        <f t="shared" si="16"/>
        <v>19590.00698059269</v>
      </c>
      <c r="AQ36" s="10"/>
      <c r="AR36" s="10"/>
      <c r="AS36" s="34"/>
      <c r="AT36" s="116">
        <f t="shared" si="13"/>
        <v>19590.00698059269</v>
      </c>
      <c r="AU36" s="116"/>
      <c r="AV36" s="116"/>
      <c r="AW36" s="116"/>
      <c r="AX36" s="116">
        <f>AT36+AU36-AV36-AW36</f>
        <v>19590.00698059269</v>
      </c>
      <c r="AY36" s="116">
        <v>5665.66</v>
      </c>
      <c r="AZ36" s="172">
        <f t="shared" si="14"/>
        <v>13924.34698059269</v>
      </c>
      <c r="BA36" s="130">
        <v>144099.23</v>
      </c>
    </row>
    <row r="37" spans="1:53" ht="12.75">
      <c r="A37" s="1">
        <v>26</v>
      </c>
      <c r="B37" s="84" t="s">
        <v>28</v>
      </c>
      <c r="C37" s="1">
        <v>2003.8</v>
      </c>
      <c r="D37" s="1">
        <v>0</v>
      </c>
      <c r="E37" s="7">
        <f t="shared" si="1"/>
        <v>2003.8</v>
      </c>
      <c r="F37" s="5">
        <v>2.9</v>
      </c>
      <c r="G37" s="5">
        <v>7.26</v>
      </c>
      <c r="H37" s="5">
        <f t="shared" si="2"/>
        <v>10.16</v>
      </c>
      <c r="I37" s="28">
        <f t="shared" si="3"/>
        <v>122151.648</v>
      </c>
      <c r="J37" s="5">
        <f t="shared" si="4"/>
        <v>3.101611830899999</v>
      </c>
      <c r="K37" s="5">
        <f t="shared" si="5"/>
        <v>7.764724790459999</v>
      </c>
      <c r="L37" s="27">
        <f t="shared" si="6"/>
        <v>10.866336621359999</v>
      </c>
      <c r="M37" s="61">
        <f t="shared" si="7"/>
        <v>130643.79193128699</v>
      </c>
      <c r="N37" s="34">
        <f t="shared" si="8"/>
        <v>252795.439931287</v>
      </c>
      <c r="O37" s="34">
        <v>14489.35</v>
      </c>
      <c r="P37" s="34"/>
      <c r="Q37" s="5">
        <f t="shared" si="9"/>
        <v>238306.089931287</v>
      </c>
      <c r="R37" s="30">
        <f t="shared" si="10"/>
        <v>238306.089931287</v>
      </c>
      <c r="S37" s="1">
        <v>11245.66</v>
      </c>
      <c r="T37" s="1">
        <v>12968.32</v>
      </c>
      <c r="U37" s="1">
        <v>15994.95</v>
      </c>
      <c r="V37" s="1">
        <v>9643.26</v>
      </c>
      <c r="W37" s="1">
        <v>11937.12</v>
      </c>
      <c r="X37" s="1">
        <v>18328.65</v>
      </c>
      <c r="Y37" s="1">
        <v>19177.26</v>
      </c>
      <c r="Z37" s="1">
        <v>21427.36</v>
      </c>
      <c r="AA37" s="1">
        <v>10335.43</v>
      </c>
      <c r="AB37" s="1">
        <v>4036.62</v>
      </c>
      <c r="AC37" s="165">
        <f t="shared" si="15"/>
        <v>135094.63</v>
      </c>
      <c r="AD37" s="1">
        <v>4254.51</v>
      </c>
      <c r="AE37" s="1">
        <v>2420.27</v>
      </c>
      <c r="AF37" s="1">
        <v>12932.48</v>
      </c>
      <c r="AG37" s="1">
        <v>4638.67</v>
      </c>
      <c r="AH37" s="1">
        <v>9766.65</v>
      </c>
      <c r="AI37" s="1">
        <v>4723.28</v>
      </c>
      <c r="AJ37" s="6">
        <f t="shared" si="11"/>
        <v>173830.49000000002</v>
      </c>
      <c r="AK37" s="1"/>
      <c r="AL37" s="1"/>
      <c r="AM37" s="1"/>
      <c r="AN37" s="1"/>
      <c r="AO37" s="6">
        <f t="shared" si="12"/>
        <v>173830.49000000002</v>
      </c>
      <c r="AP37" s="91">
        <f t="shared" si="16"/>
        <v>64475.59993128697</v>
      </c>
      <c r="AQ37" s="10"/>
      <c r="AR37" s="10"/>
      <c r="AS37" s="34"/>
      <c r="AT37" s="116">
        <f t="shared" si="13"/>
        <v>64475.59993128697</v>
      </c>
      <c r="AU37" s="116"/>
      <c r="AV37" s="116"/>
      <c r="AW37" s="116">
        <f>215+396</f>
        <v>611</v>
      </c>
      <c r="AX37" s="116">
        <f>AT37+AU37-AV37-AW37</f>
        <v>63864.59993128697</v>
      </c>
      <c r="AY37" s="116">
        <v>18470.4</v>
      </c>
      <c r="AZ37" s="172">
        <f t="shared" si="14"/>
        <v>45394.19993128697</v>
      </c>
      <c r="BA37" s="130">
        <v>208775.23</v>
      </c>
    </row>
    <row r="38" spans="1:53" ht="12.75">
      <c r="A38" s="1">
        <v>27</v>
      </c>
      <c r="B38" s="1" t="s">
        <v>29</v>
      </c>
      <c r="C38" s="1">
        <v>528.8</v>
      </c>
      <c r="D38" s="1">
        <v>0</v>
      </c>
      <c r="E38" s="7">
        <f t="shared" si="1"/>
        <v>528.8</v>
      </c>
      <c r="F38" s="5">
        <v>2.9</v>
      </c>
      <c r="G38" s="5">
        <v>6.98</v>
      </c>
      <c r="H38" s="5">
        <f t="shared" si="2"/>
        <v>9.88</v>
      </c>
      <c r="I38" s="28">
        <f t="shared" si="3"/>
        <v>31347.264</v>
      </c>
      <c r="J38" s="5">
        <f t="shared" si="4"/>
        <v>3.101611830899999</v>
      </c>
      <c r="K38" s="5">
        <f t="shared" si="5"/>
        <v>7.465258820579999</v>
      </c>
      <c r="L38" s="27">
        <f t="shared" si="6"/>
        <v>10.566870651479999</v>
      </c>
      <c r="M38" s="61">
        <f t="shared" si="7"/>
        <v>33526.56720301574</v>
      </c>
      <c r="N38" s="34">
        <f t="shared" si="8"/>
        <v>64873.83120301574</v>
      </c>
      <c r="O38" s="34"/>
      <c r="P38" s="34"/>
      <c r="Q38" s="5">
        <f t="shared" si="9"/>
        <v>64873.83120301574</v>
      </c>
      <c r="R38" s="30">
        <f t="shared" si="10"/>
        <v>64873.83120301574</v>
      </c>
      <c r="S38" s="1">
        <v>5299.5</v>
      </c>
      <c r="T38" s="1">
        <v>6749.93</v>
      </c>
      <c r="U38" s="1">
        <v>2381.62</v>
      </c>
      <c r="V38" s="1">
        <v>9309.52</v>
      </c>
      <c r="W38" s="1">
        <v>2637.69</v>
      </c>
      <c r="X38" s="1">
        <v>31585.16</v>
      </c>
      <c r="Y38" s="1">
        <v>2535.26</v>
      </c>
      <c r="Z38" s="1">
        <v>1221.36</v>
      </c>
      <c r="AA38" s="1">
        <v>9175.08</v>
      </c>
      <c r="AB38" s="1">
        <v>581.67</v>
      </c>
      <c r="AC38" s="165">
        <f t="shared" si="15"/>
        <v>71476.79</v>
      </c>
      <c r="AD38" s="1">
        <v>0</v>
      </c>
      <c r="AE38" s="1">
        <v>5012.9</v>
      </c>
      <c r="AF38" s="1"/>
      <c r="AG38" s="1">
        <v>4085.62</v>
      </c>
      <c r="AH38" s="1">
        <v>0</v>
      </c>
      <c r="AI38" s="1">
        <v>1221.36</v>
      </c>
      <c r="AJ38" s="6">
        <f t="shared" si="11"/>
        <v>81796.66999999998</v>
      </c>
      <c r="AK38" s="1"/>
      <c r="AL38" s="1"/>
      <c r="AM38" s="1"/>
      <c r="AN38" s="1"/>
      <c r="AO38" s="6">
        <f t="shared" si="12"/>
        <v>81796.66999999998</v>
      </c>
      <c r="AP38" s="91">
        <f t="shared" si="16"/>
        <v>-16922.838796984244</v>
      </c>
      <c r="AQ38" s="10">
        <v>9551.83</v>
      </c>
      <c r="AR38" s="10">
        <v>21170.38</v>
      </c>
      <c r="AS38" s="34"/>
      <c r="AT38" s="34">
        <f t="shared" si="13"/>
        <v>13799.371203015757</v>
      </c>
      <c r="AU38" s="116">
        <v>1078</v>
      </c>
      <c r="AV38" s="34"/>
      <c r="AW38" s="116"/>
      <c r="AX38" s="116">
        <f>AT38+AU38-AV38-AW38</f>
        <v>14877.371203015757</v>
      </c>
      <c r="AY38" s="116">
        <v>4302.71</v>
      </c>
      <c r="AZ38" s="172">
        <f t="shared" si="14"/>
        <v>10574.661203015756</v>
      </c>
      <c r="BA38" s="130">
        <v>60200.9</v>
      </c>
    </row>
    <row r="39" spans="1:53" ht="12.75" customHeight="1">
      <c r="A39" s="1">
        <v>28</v>
      </c>
      <c r="B39" s="1" t="s">
        <v>30</v>
      </c>
      <c r="C39" s="1">
        <v>271.8</v>
      </c>
      <c r="D39" s="1">
        <v>0</v>
      </c>
      <c r="E39" s="7">
        <f t="shared" si="1"/>
        <v>271.8</v>
      </c>
      <c r="F39" s="5">
        <v>2.9</v>
      </c>
      <c r="G39" s="5">
        <v>6.16</v>
      </c>
      <c r="H39" s="5">
        <f t="shared" si="2"/>
        <v>9.06</v>
      </c>
      <c r="I39" s="28">
        <f t="shared" si="3"/>
        <v>14775.048000000003</v>
      </c>
      <c r="J39" s="5">
        <f t="shared" si="4"/>
        <v>3.101611830899999</v>
      </c>
      <c r="K39" s="5">
        <f t="shared" si="5"/>
        <v>6.588251337359999</v>
      </c>
      <c r="L39" s="27">
        <f t="shared" si="6"/>
        <v>9.689863168259999</v>
      </c>
      <c r="M39" s="61">
        <f t="shared" si="7"/>
        <v>15802.228854798406</v>
      </c>
      <c r="N39" s="34">
        <f t="shared" si="8"/>
        <v>30577.27685479841</v>
      </c>
      <c r="O39" s="34"/>
      <c r="P39" s="34"/>
      <c r="Q39" s="5">
        <f t="shared" si="9"/>
        <v>30577.27685479841</v>
      </c>
      <c r="R39" s="30">
        <f t="shared" si="10"/>
        <v>30577.27685479841</v>
      </c>
      <c r="S39" s="1">
        <v>1308.34</v>
      </c>
      <c r="T39" s="1">
        <v>1308.34</v>
      </c>
      <c r="U39" s="1">
        <v>1308.34</v>
      </c>
      <c r="V39" s="1">
        <v>1308.34</v>
      </c>
      <c r="W39" s="1">
        <v>1308.34</v>
      </c>
      <c r="X39" s="1">
        <v>16127.66</v>
      </c>
      <c r="Y39" s="1">
        <v>1387.16</v>
      </c>
      <c r="Z39" s="1">
        <v>1387.16</v>
      </c>
      <c r="AA39" s="1">
        <v>1387.16</v>
      </c>
      <c r="AB39" s="1">
        <v>8941.39</v>
      </c>
      <c r="AC39" s="165">
        <f t="shared" si="15"/>
        <v>35772.229999999996</v>
      </c>
      <c r="AD39" s="1">
        <v>0</v>
      </c>
      <c r="AE39" s="1">
        <v>741.31</v>
      </c>
      <c r="AF39" s="1"/>
      <c r="AG39" s="1">
        <v>1734.75</v>
      </c>
      <c r="AH39" s="1">
        <v>0</v>
      </c>
      <c r="AI39" s="1">
        <v>1387.16</v>
      </c>
      <c r="AJ39" s="6">
        <f t="shared" si="11"/>
        <v>39635.45</v>
      </c>
      <c r="AK39" s="1"/>
      <c r="AL39" s="1"/>
      <c r="AM39" s="1"/>
      <c r="AN39" s="1"/>
      <c r="AO39" s="6">
        <f t="shared" si="12"/>
        <v>39635.45</v>
      </c>
      <c r="AP39" s="136">
        <f t="shared" si="16"/>
        <v>-9058.173145201588</v>
      </c>
      <c r="AQ39" s="110">
        <v>3733.56</v>
      </c>
      <c r="AR39" s="110">
        <v>-19612.68</v>
      </c>
      <c r="AS39" s="111"/>
      <c r="AT39" s="111">
        <f t="shared" si="13"/>
        <v>-24937.29314520159</v>
      </c>
      <c r="AU39" s="121"/>
      <c r="AV39" s="111"/>
      <c r="AW39" s="111"/>
      <c r="AX39" s="111"/>
      <c r="AY39" s="116"/>
      <c r="AZ39" s="172">
        <f t="shared" si="14"/>
        <v>0</v>
      </c>
      <c r="BA39" s="130">
        <v>141098.89</v>
      </c>
    </row>
    <row r="40" spans="1:53" ht="12.75" customHeight="1">
      <c r="A40" s="1">
        <v>29</v>
      </c>
      <c r="B40" s="1" t="s">
        <v>31</v>
      </c>
      <c r="C40" s="1">
        <v>622.4</v>
      </c>
      <c r="D40" s="1">
        <v>0</v>
      </c>
      <c r="E40" s="7">
        <f t="shared" si="1"/>
        <v>622.4</v>
      </c>
      <c r="F40" s="5">
        <v>2.9</v>
      </c>
      <c r="G40" s="5">
        <v>3.29</v>
      </c>
      <c r="H40" s="5">
        <f t="shared" si="2"/>
        <v>6.1899999999999995</v>
      </c>
      <c r="I40" s="28">
        <f t="shared" si="3"/>
        <v>23115.935999999998</v>
      </c>
      <c r="J40" s="5">
        <f t="shared" si="4"/>
        <v>3.101611830899999</v>
      </c>
      <c r="K40" s="5">
        <f t="shared" si="5"/>
        <v>3.5187251460899995</v>
      </c>
      <c r="L40" s="27">
        <f t="shared" si="6"/>
        <v>6.620336976989998</v>
      </c>
      <c r="M40" s="61">
        <f t="shared" si="7"/>
        <v>24722.98640687145</v>
      </c>
      <c r="N40" s="34">
        <f t="shared" si="8"/>
        <v>47838.92240687145</v>
      </c>
      <c r="O40" s="34"/>
      <c r="P40" s="34"/>
      <c r="Q40" s="5">
        <f t="shared" si="9"/>
        <v>47838.92240687145</v>
      </c>
      <c r="R40" s="30">
        <f t="shared" si="10"/>
        <v>47838.92240687145</v>
      </c>
      <c r="S40" s="1">
        <v>1322.87</v>
      </c>
      <c r="T40" s="1">
        <v>4034.51</v>
      </c>
      <c r="U40" s="1">
        <v>1322.87</v>
      </c>
      <c r="V40" s="1">
        <v>15695.22</v>
      </c>
      <c r="W40" s="1">
        <v>1322.87</v>
      </c>
      <c r="X40" s="1">
        <v>38614.53</v>
      </c>
      <c r="Y40" s="1">
        <v>8836.06</v>
      </c>
      <c r="Z40" s="1">
        <v>1403.78</v>
      </c>
      <c r="AA40" s="1">
        <v>2020.76</v>
      </c>
      <c r="AB40" s="1">
        <v>652.28</v>
      </c>
      <c r="AC40" s="165">
        <f t="shared" si="15"/>
        <v>75225.74999999999</v>
      </c>
      <c r="AD40" s="1">
        <v>0</v>
      </c>
      <c r="AE40" s="1">
        <v>751.5</v>
      </c>
      <c r="AF40" s="1"/>
      <c r="AG40" s="1">
        <v>3901.61</v>
      </c>
      <c r="AH40" s="1">
        <v>0</v>
      </c>
      <c r="AI40" s="1">
        <v>4158.36</v>
      </c>
      <c r="AJ40" s="6">
        <f t="shared" si="11"/>
        <v>84037.21999999999</v>
      </c>
      <c r="AK40" s="1">
        <v>2996</v>
      </c>
      <c r="AL40" s="1"/>
      <c r="AM40" s="1"/>
      <c r="AN40" s="1"/>
      <c r="AO40" s="6">
        <f t="shared" si="12"/>
        <v>87033.21999999999</v>
      </c>
      <c r="AP40" s="136">
        <f t="shared" si="16"/>
        <v>-39194.29759312854</v>
      </c>
      <c r="AQ40" s="110"/>
      <c r="AR40" s="110"/>
      <c r="AS40" s="111"/>
      <c r="AT40" s="111">
        <f t="shared" si="13"/>
        <v>-39194.29759312854</v>
      </c>
      <c r="AU40" s="121"/>
      <c r="AV40" s="111"/>
      <c r="AW40" s="111"/>
      <c r="AX40" s="111"/>
      <c r="AY40" s="116"/>
      <c r="AZ40" s="172">
        <f t="shared" si="14"/>
        <v>0</v>
      </c>
      <c r="BA40" s="130">
        <v>19821.11</v>
      </c>
    </row>
    <row r="41" spans="1:53" ht="12.75" customHeight="1">
      <c r="A41" s="1">
        <v>30</v>
      </c>
      <c r="B41" s="120" t="s">
        <v>456</v>
      </c>
      <c r="C41" s="1">
        <v>102</v>
      </c>
      <c r="D41" s="1">
        <v>0</v>
      </c>
      <c r="E41" s="7">
        <f t="shared" si="1"/>
        <v>102</v>
      </c>
      <c r="F41" s="5">
        <v>2.9</v>
      </c>
      <c r="G41" s="5">
        <v>3.37</v>
      </c>
      <c r="H41" s="5">
        <f t="shared" si="2"/>
        <v>6.27</v>
      </c>
      <c r="I41" s="28">
        <f>E41*H41*5</f>
        <v>3197.7</v>
      </c>
      <c r="J41" s="5">
        <f t="shared" si="4"/>
        <v>3.101611830899999</v>
      </c>
      <c r="K41" s="5">
        <f t="shared" si="5"/>
        <v>3.6042868517699995</v>
      </c>
      <c r="L41" s="27">
        <f t="shared" si="6"/>
        <v>6.705898682669998</v>
      </c>
      <c r="M41" s="61">
        <f>L41*E41*0</f>
        <v>0</v>
      </c>
      <c r="N41" s="34">
        <f t="shared" si="8"/>
        <v>3197.7</v>
      </c>
      <c r="O41" s="34"/>
      <c r="P41" s="34"/>
      <c r="Q41" s="5">
        <f t="shared" si="9"/>
        <v>3197.7</v>
      </c>
      <c r="R41" s="30">
        <f t="shared" si="10"/>
        <v>3197.7</v>
      </c>
      <c r="S41" s="1">
        <v>187.68</v>
      </c>
      <c r="T41" s="1">
        <v>187.68</v>
      </c>
      <c r="U41" s="1">
        <v>187.68</v>
      </c>
      <c r="V41" s="1">
        <v>187.68</v>
      </c>
      <c r="W41" s="1">
        <v>187.68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65">
        <f t="shared" si="15"/>
        <v>938.4000000000001</v>
      </c>
      <c r="AD41" s="1">
        <v>0</v>
      </c>
      <c r="AE41" s="1">
        <v>0</v>
      </c>
      <c r="AF41" s="1"/>
      <c r="AG41" s="1">
        <v>0</v>
      </c>
      <c r="AH41" s="1">
        <v>0</v>
      </c>
      <c r="AI41" s="1">
        <v>0</v>
      </c>
      <c r="AJ41" s="6">
        <f t="shared" si="11"/>
        <v>938.4000000000001</v>
      </c>
      <c r="AK41" s="1"/>
      <c r="AL41" s="1"/>
      <c r="AM41" s="1"/>
      <c r="AN41" s="1"/>
      <c r="AO41" s="6">
        <f t="shared" si="12"/>
        <v>938.4000000000001</v>
      </c>
      <c r="AP41" s="91">
        <f t="shared" si="16"/>
        <v>2259.2999999999997</v>
      </c>
      <c r="AQ41" s="10"/>
      <c r="AR41" s="10"/>
      <c r="AS41" s="34"/>
      <c r="AT41" s="116">
        <f t="shared" si="13"/>
        <v>2259.2999999999997</v>
      </c>
      <c r="AU41" s="116"/>
      <c r="AV41" s="116"/>
      <c r="AW41" s="116"/>
      <c r="AX41" s="116">
        <f>AT41+AU41-AV41-AW41</f>
        <v>2259.2999999999997</v>
      </c>
      <c r="AY41" s="116">
        <v>653.42</v>
      </c>
      <c r="AZ41" s="172">
        <f t="shared" si="14"/>
        <v>1605.8799999999997</v>
      </c>
      <c r="BA41" s="116"/>
    </row>
    <row r="42" spans="1:53" ht="12.75">
      <c r="A42" s="1">
        <v>31</v>
      </c>
      <c r="B42" s="1" t="s">
        <v>34</v>
      </c>
      <c r="C42" s="1">
        <v>964.4</v>
      </c>
      <c r="D42" s="1">
        <v>0</v>
      </c>
      <c r="E42" s="7">
        <f t="shared" si="1"/>
        <v>964.4</v>
      </c>
      <c r="F42" s="5">
        <v>2.9</v>
      </c>
      <c r="G42" s="5">
        <v>7.85</v>
      </c>
      <c r="H42" s="5">
        <f t="shared" si="2"/>
        <v>10.75</v>
      </c>
      <c r="I42" s="28">
        <f t="shared" si="3"/>
        <v>62203.799999999996</v>
      </c>
      <c r="J42" s="5">
        <f t="shared" si="4"/>
        <v>3.101611830899999</v>
      </c>
      <c r="K42" s="5">
        <f t="shared" si="5"/>
        <v>8.395742369849998</v>
      </c>
      <c r="L42" s="27">
        <f t="shared" si="6"/>
        <v>11.497354200749998</v>
      </c>
      <c r="M42" s="61">
        <f t="shared" si="7"/>
        <v>66528.2903472198</v>
      </c>
      <c r="N42" s="34">
        <f t="shared" si="8"/>
        <v>128732.09034721978</v>
      </c>
      <c r="O42" s="34">
        <v>45854.79</v>
      </c>
      <c r="P42" s="34">
        <v>30020.64</v>
      </c>
      <c r="Q42" s="5">
        <f t="shared" si="9"/>
        <v>82877.30034721977</v>
      </c>
      <c r="R42" s="30">
        <f t="shared" si="10"/>
        <v>112897.94034721977</v>
      </c>
      <c r="S42" s="1">
        <v>5124.22</v>
      </c>
      <c r="T42" s="1">
        <v>4621.48</v>
      </c>
      <c r="U42" s="1">
        <v>5056.21</v>
      </c>
      <c r="V42" s="1">
        <v>5037.4</v>
      </c>
      <c r="W42" s="1">
        <v>8701.07</v>
      </c>
      <c r="X42" s="1">
        <v>12024.41</v>
      </c>
      <c r="Y42" s="1">
        <v>6138.63</v>
      </c>
      <c r="Z42" s="1">
        <v>6086.81</v>
      </c>
      <c r="AA42" s="1">
        <v>6906.73</v>
      </c>
      <c r="AB42" s="1">
        <v>1838.91</v>
      </c>
      <c r="AC42" s="165">
        <f t="shared" si="15"/>
        <v>61535.869999999995</v>
      </c>
      <c r="AD42" s="1">
        <v>0</v>
      </c>
      <c r="AE42" s="1">
        <v>7327.37</v>
      </c>
      <c r="AF42" s="1"/>
      <c r="AG42" s="1">
        <v>6558.53</v>
      </c>
      <c r="AH42" s="1">
        <v>0</v>
      </c>
      <c r="AI42" s="1">
        <v>19490.21</v>
      </c>
      <c r="AJ42" s="6">
        <f t="shared" si="11"/>
        <v>94911.97999999998</v>
      </c>
      <c r="AK42" s="1"/>
      <c r="AL42" s="1"/>
      <c r="AM42" s="1"/>
      <c r="AN42" s="1">
        <v>1214.27</v>
      </c>
      <c r="AO42" s="6">
        <f t="shared" si="12"/>
        <v>96126.24999999999</v>
      </c>
      <c r="AP42" s="91">
        <f t="shared" si="16"/>
        <v>16771.69034721979</v>
      </c>
      <c r="AQ42" s="10"/>
      <c r="AR42" s="10"/>
      <c r="AS42" s="34"/>
      <c r="AT42" s="116">
        <f t="shared" si="13"/>
        <v>16771.69034721979</v>
      </c>
      <c r="AU42" s="134">
        <v>4318</v>
      </c>
      <c r="AV42" s="116">
        <f>649.63*4</f>
        <v>2598.52</v>
      </c>
      <c r="AW42" s="116"/>
      <c r="AX42" s="116">
        <f>AT42+AU42-AV42-AW42</f>
        <v>18491.170347219788</v>
      </c>
      <c r="AY42" s="134">
        <v>5347.86</v>
      </c>
      <c r="AZ42" s="172">
        <f t="shared" si="14"/>
        <v>13143.310347219787</v>
      </c>
      <c r="BA42" s="127">
        <v>33811.95</v>
      </c>
    </row>
    <row r="43" spans="1:53" ht="12.75">
      <c r="A43" s="1">
        <v>32</v>
      </c>
      <c r="B43" s="1" t="s">
        <v>35</v>
      </c>
      <c r="C43" s="1">
        <v>556.9</v>
      </c>
      <c r="D43" s="1">
        <v>0</v>
      </c>
      <c r="E43" s="7">
        <f t="shared" si="1"/>
        <v>556.9</v>
      </c>
      <c r="F43" s="5">
        <v>2.9</v>
      </c>
      <c r="G43" s="5">
        <v>7.65</v>
      </c>
      <c r="H43" s="5">
        <f t="shared" si="2"/>
        <v>10.55</v>
      </c>
      <c r="I43" s="28">
        <f t="shared" si="3"/>
        <v>35251.770000000004</v>
      </c>
      <c r="J43" s="5">
        <f t="shared" si="4"/>
        <v>3.101611830899999</v>
      </c>
      <c r="K43" s="5">
        <f t="shared" si="5"/>
        <v>8.181838105649998</v>
      </c>
      <c r="L43" s="27">
        <f t="shared" si="6"/>
        <v>11.283449936549998</v>
      </c>
      <c r="M43" s="61">
        <f t="shared" si="7"/>
        <v>37702.51961798816</v>
      </c>
      <c r="N43" s="34">
        <f t="shared" si="8"/>
        <v>72954.28961798816</v>
      </c>
      <c r="O43" s="34"/>
      <c r="P43" s="34"/>
      <c r="Q43" s="5">
        <f t="shared" si="9"/>
        <v>72954.28961798816</v>
      </c>
      <c r="R43" s="30">
        <f t="shared" si="10"/>
        <v>72954.28961798816</v>
      </c>
      <c r="S43" s="1">
        <v>3082.84</v>
      </c>
      <c r="T43" s="1">
        <v>3329.37</v>
      </c>
      <c r="U43" s="1">
        <v>28599.37</v>
      </c>
      <c r="V43" s="1">
        <v>2921.14</v>
      </c>
      <c r="W43" s="1">
        <v>3952</v>
      </c>
      <c r="X43" s="1">
        <v>4575.77</v>
      </c>
      <c r="Y43" s="1">
        <v>3082.65</v>
      </c>
      <c r="Z43" s="1">
        <v>3272.24</v>
      </c>
      <c r="AA43" s="1">
        <v>2655.86</v>
      </c>
      <c r="AB43" s="1">
        <v>1136.96</v>
      </c>
      <c r="AC43" s="165">
        <f t="shared" si="15"/>
        <v>56608.200000000004</v>
      </c>
      <c r="AD43" s="1">
        <v>0</v>
      </c>
      <c r="AE43" s="1">
        <v>3116.48</v>
      </c>
      <c r="AF43" s="1"/>
      <c r="AG43" s="1">
        <v>3272.24</v>
      </c>
      <c r="AH43" s="1">
        <v>0</v>
      </c>
      <c r="AI43" s="1">
        <v>3027.89</v>
      </c>
      <c r="AJ43" s="6">
        <f t="shared" si="11"/>
        <v>66024.81000000001</v>
      </c>
      <c r="AK43" s="1"/>
      <c r="AL43" s="1"/>
      <c r="AM43" s="1">
        <v>2847.38</v>
      </c>
      <c r="AN43" s="1"/>
      <c r="AO43" s="6">
        <f t="shared" si="12"/>
        <v>68872.19000000002</v>
      </c>
      <c r="AP43" s="91">
        <f t="shared" si="16"/>
        <v>4082.0996179881477</v>
      </c>
      <c r="AQ43" s="10"/>
      <c r="AR43" s="10"/>
      <c r="AS43" s="34"/>
      <c r="AT43" s="116">
        <f t="shared" si="13"/>
        <v>4082.0996179881477</v>
      </c>
      <c r="AU43" s="116">
        <v>4318</v>
      </c>
      <c r="AV43" s="116"/>
      <c r="AW43" s="116"/>
      <c r="AX43" s="116">
        <f>AT43+AU43-AV43-AW43</f>
        <v>8400.099617988148</v>
      </c>
      <c r="AY43" s="116">
        <v>2429.41</v>
      </c>
      <c r="AZ43" s="172">
        <f t="shared" si="14"/>
        <v>5970.689617988148</v>
      </c>
      <c r="BA43" s="130">
        <v>17674.04</v>
      </c>
    </row>
    <row r="44" spans="1:53" ht="12.75">
      <c r="A44" s="1">
        <v>33</v>
      </c>
      <c r="B44" s="1" t="s">
        <v>40</v>
      </c>
      <c r="C44" s="1">
        <v>575.8</v>
      </c>
      <c r="D44" s="1">
        <v>71.7</v>
      </c>
      <c r="E44" s="7">
        <f t="shared" si="1"/>
        <v>647.5</v>
      </c>
      <c r="F44" s="5">
        <v>2.9</v>
      </c>
      <c r="G44" s="5">
        <v>3.29</v>
      </c>
      <c r="H44" s="5">
        <f t="shared" si="2"/>
        <v>6.1899999999999995</v>
      </c>
      <c r="I44" s="28">
        <f t="shared" si="3"/>
        <v>24048.149999999998</v>
      </c>
      <c r="J44" s="5">
        <f t="shared" si="4"/>
        <v>3.101611830899999</v>
      </c>
      <c r="K44" s="5">
        <f t="shared" si="5"/>
        <v>3.5187251460899995</v>
      </c>
      <c r="L44" s="27">
        <f t="shared" si="6"/>
        <v>6.620336976989998</v>
      </c>
      <c r="M44" s="61">
        <f t="shared" si="7"/>
        <v>25720.009155606145</v>
      </c>
      <c r="N44" s="34">
        <f t="shared" si="8"/>
        <v>49768.15915560615</v>
      </c>
      <c r="O44" s="34">
        <v>65160.78</v>
      </c>
      <c r="P44" s="34"/>
      <c r="Q44" s="5">
        <f t="shared" si="9"/>
        <v>-15392.620844393852</v>
      </c>
      <c r="R44" s="30">
        <v>16510.3</v>
      </c>
      <c r="S44" s="1">
        <v>2602.38</v>
      </c>
      <c r="T44" s="1">
        <v>8756.51</v>
      </c>
      <c r="U44" s="1">
        <v>1766.29</v>
      </c>
      <c r="V44" s="1">
        <v>1372.73</v>
      </c>
      <c r="W44" s="1">
        <v>3787.89</v>
      </c>
      <c r="X44" s="1">
        <v>1372.73</v>
      </c>
      <c r="Y44" s="1">
        <v>1457.17</v>
      </c>
      <c r="Z44" s="1">
        <v>2049.22</v>
      </c>
      <c r="AA44" s="1">
        <v>22805.73</v>
      </c>
      <c r="AB44" s="1">
        <v>672.95</v>
      </c>
      <c r="AC44" s="165">
        <f t="shared" si="15"/>
        <v>46643.59999999999</v>
      </c>
      <c r="AD44" s="1">
        <v>0</v>
      </c>
      <c r="AE44" s="1">
        <v>5437.68</v>
      </c>
      <c r="AF44" s="1"/>
      <c r="AG44" s="1">
        <v>6462.5</v>
      </c>
      <c r="AH44" s="1">
        <v>0</v>
      </c>
      <c r="AI44" s="1">
        <v>6410.2</v>
      </c>
      <c r="AJ44" s="6">
        <f t="shared" si="11"/>
        <v>64953.97999999999</v>
      </c>
      <c r="AK44" s="1"/>
      <c r="AL44" s="1"/>
      <c r="AM44" s="1"/>
      <c r="AN44" s="1"/>
      <c r="AO44" s="6">
        <f t="shared" si="12"/>
        <v>64953.97999999999</v>
      </c>
      <c r="AP44" s="136">
        <f t="shared" si="16"/>
        <v>-48443.67999999999</v>
      </c>
      <c r="AQ44" s="110"/>
      <c r="AR44" s="110"/>
      <c r="AS44" s="111"/>
      <c r="AT44" s="111">
        <f aca="true" t="shared" si="17" ref="AT44:AT75">AP44+AQ44+AR44+AS44</f>
        <v>-48443.67999999999</v>
      </c>
      <c r="AU44" s="121">
        <v>14464</v>
      </c>
      <c r="AV44" s="111"/>
      <c r="AW44" s="111">
        <v>1080</v>
      </c>
      <c r="AX44" s="147">
        <f>AU44-AV44-AW44</f>
        <v>13384</v>
      </c>
      <c r="AY44" s="116">
        <v>3870.81</v>
      </c>
      <c r="AZ44" s="172">
        <f t="shared" si="14"/>
        <v>9513.19</v>
      </c>
      <c r="BA44" s="130">
        <v>7807.01</v>
      </c>
    </row>
    <row r="45" spans="1:53" ht="12.75" customHeight="1">
      <c r="A45" s="1">
        <v>34</v>
      </c>
      <c r="B45" s="1" t="s">
        <v>41</v>
      </c>
      <c r="C45" s="1">
        <v>1531.5</v>
      </c>
      <c r="D45" s="1">
        <v>84.5</v>
      </c>
      <c r="E45" s="7">
        <f t="shared" si="1"/>
        <v>1616</v>
      </c>
      <c r="F45" s="5">
        <v>2.9</v>
      </c>
      <c r="G45" s="5">
        <v>7.46</v>
      </c>
      <c r="H45" s="5">
        <f t="shared" si="2"/>
        <v>10.36</v>
      </c>
      <c r="I45" s="28">
        <f t="shared" si="3"/>
        <v>100450.56</v>
      </c>
      <c r="J45" s="5">
        <f t="shared" si="4"/>
        <v>3.101611830899999</v>
      </c>
      <c r="K45" s="5">
        <f t="shared" si="5"/>
        <v>7.978629054659999</v>
      </c>
      <c r="L45" s="27">
        <f t="shared" si="6"/>
        <v>11.080240885559999</v>
      </c>
      <c r="M45" s="61">
        <f t="shared" si="7"/>
        <v>107434.01562638975</v>
      </c>
      <c r="N45" s="34">
        <f t="shared" si="8"/>
        <v>207884.57562638976</v>
      </c>
      <c r="O45" s="34">
        <v>93441.49</v>
      </c>
      <c r="P45" s="34"/>
      <c r="Q45" s="5">
        <f t="shared" si="9"/>
        <v>114443.08562638976</v>
      </c>
      <c r="R45" s="30">
        <f t="shared" si="10"/>
        <v>114443.08562638976</v>
      </c>
      <c r="S45" s="1">
        <v>6938.48</v>
      </c>
      <c r="T45" s="1">
        <v>7692.03</v>
      </c>
      <c r="U45" s="1">
        <v>18837.93</v>
      </c>
      <c r="V45" s="1">
        <v>8297.57</v>
      </c>
      <c r="W45" s="1">
        <v>8528.61</v>
      </c>
      <c r="X45" s="1">
        <v>26913.79</v>
      </c>
      <c r="Y45" s="1">
        <v>14267.41</v>
      </c>
      <c r="Z45" s="1">
        <v>12614.73</v>
      </c>
      <c r="AA45" s="1">
        <v>32538.75</v>
      </c>
      <c r="AB45" s="1">
        <v>2961.34</v>
      </c>
      <c r="AC45" s="165">
        <f t="shared" si="15"/>
        <v>139590.63999999998</v>
      </c>
      <c r="AD45" s="1">
        <v>0</v>
      </c>
      <c r="AE45" s="1">
        <v>4821.96</v>
      </c>
      <c r="AF45" s="1"/>
      <c r="AG45" s="1">
        <v>9346.26</v>
      </c>
      <c r="AH45" s="1">
        <v>0</v>
      </c>
      <c r="AI45" s="1">
        <v>8040.64</v>
      </c>
      <c r="AJ45" s="6">
        <f t="shared" si="11"/>
        <v>161799.5</v>
      </c>
      <c r="AK45" s="1"/>
      <c r="AL45" s="1"/>
      <c r="AM45" s="1"/>
      <c r="AN45" s="1"/>
      <c r="AO45" s="6">
        <f t="shared" si="12"/>
        <v>161799.5</v>
      </c>
      <c r="AP45" s="136">
        <f t="shared" si="16"/>
        <v>-47356.41437361024</v>
      </c>
      <c r="AQ45" s="110"/>
      <c r="AR45" s="110"/>
      <c r="AS45" s="111"/>
      <c r="AT45" s="111">
        <f t="shared" si="17"/>
        <v>-47356.41437361024</v>
      </c>
      <c r="AU45" s="121"/>
      <c r="AV45" s="111"/>
      <c r="AW45" s="111"/>
      <c r="AX45" s="111"/>
      <c r="AY45" s="116"/>
      <c r="AZ45" s="172">
        <f t="shared" si="14"/>
        <v>0</v>
      </c>
      <c r="BA45" s="130">
        <v>136508.89</v>
      </c>
    </row>
    <row r="46" spans="1:53" ht="12.75">
      <c r="A46" s="1">
        <v>35</v>
      </c>
      <c r="B46" s="1" t="s">
        <v>42</v>
      </c>
      <c r="C46" s="1">
        <v>659.8</v>
      </c>
      <c r="D46" s="1">
        <v>0</v>
      </c>
      <c r="E46" s="7">
        <f t="shared" si="1"/>
        <v>659.8</v>
      </c>
      <c r="F46" s="5">
        <v>2.9</v>
      </c>
      <c r="G46" s="5">
        <v>3.29</v>
      </c>
      <c r="H46" s="5">
        <f t="shared" si="2"/>
        <v>6.1899999999999995</v>
      </c>
      <c r="I46" s="28">
        <f t="shared" si="3"/>
        <v>24504.971999999994</v>
      </c>
      <c r="J46" s="5">
        <f t="shared" si="4"/>
        <v>3.101611830899999</v>
      </c>
      <c r="K46" s="5">
        <f t="shared" si="5"/>
        <v>3.5187251460899995</v>
      </c>
      <c r="L46" s="27">
        <f t="shared" si="6"/>
        <v>6.620336976989998</v>
      </c>
      <c r="M46" s="61">
        <f t="shared" si="7"/>
        <v>26208.590024508005</v>
      </c>
      <c r="N46" s="34">
        <f t="shared" si="8"/>
        <v>50713.562024508</v>
      </c>
      <c r="O46" s="34">
        <v>907.6</v>
      </c>
      <c r="P46" s="34"/>
      <c r="Q46" s="5">
        <f t="shared" si="9"/>
        <v>49805.962024508</v>
      </c>
      <c r="R46" s="30">
        <f t="shared" si="10"/>
        <v>49805.962024508</v>
      </c>
      <c r="S46" s="1">
        <v>1645.54</v>
      </c>
      <c r="T46" s="1">
        <v>9029.32</v>
      </c>
      <c r="U46" s="1">
        <v>1389.47</v>
      </c>
      <c r="V46" s="1">
        <v>5324.18</v>
      </c>
      <c r="W46" s="1">
        <v>1645.54</v>
      </c>
      <c r="X46" s="1">
        <v>3745.6</v>
      </c>
      <c r="Y46" s="1">
        <v>1731.16</v>
      </c>
      <c r="Z46" s="1">
        <v>2036.28</v>
      </c>
      <c r="AA46" s="1">
        <v>1980.41</v>
      </c>
      <c r="AB46" s="1">
        <v>1654.67</v>
      </c>
      <c r="AC46" s="165">
        <f t="shared" si="15"/>
        <v>30182.17</v>
      </c>
      <c r="AD46" s="1">
        <v>0</v>
      </c>
      <c r="AE46" s="1">
        <v>5448.67</v>
      </c>
      <c r="AF46" s="1"/>
      <c r="AG46" s="1">
        <v>6185.85</v>
      </c>
      <c r="AH46" s="1">
        <v>0</v>
      </c>
      <c r="AI46" s="1">
        <v>6428.12</v>
      </c>
      <c r="AJ46" s="6">
        <f t="shared" si="11"/>
        <v>48244.81</v>
      </c>
      <c r="AK46" s="1"/>
      <c r="AL46" s="1"/>
      <c r="AM46" s="1"/>
      <c r="AN46" s="1"/>
      <c r="AO46" s="6">
        <f t="shared" si="12"/>
        <v>48244.81</v>
      </c>
      <c r="AP46" s="91">
        <f t="shared" si="16"/>
        <v>1561.1520245080028</v>
      </c>
      <c r="AQ46" s="10"/>
      <c r="AR46" s="10"/>
      <c r="AS46" s="34"/>
      <c r="AT46" s="116">
        <f t="shared" si="17"/>
        <v>1561.1520245080028</v>
      </c>
      <c r="AU46" s="116"/>
      <c r="AV46" s="116"/>
      <c r="AW46" s="116"/>
      <c r="AX46" s="116">
        <f>AT46+AU46-AV46-AW46</f>
        <v>1561.1520245080028</v>
      </c>
      <c r="AY46" s="116">
        <v>451.5</v>
      </c>
      <c r="AZ46" s="172">
        <f t="shared" si="14"/>
        <v>1109.6520245080028</v>
      </c>
      <c r="BA46" s="130">
        <v>15183.64</v>
      </c>
    </row>
    <row r="47" spans="1:53" ht="12.75">
      <c r="A47" s="1">
        <v>36</v>
      </c>
      <c r="B47" s="1" t="s">
        <v>43</v>
      </c>
      <c r="C47" s="1">
        <v>1640.9</v>
      </c>
      <c r="D47" s="1">
        <v>149.1</v>
      </c>
      <c r="E47" s="7">
        <f t="shared" si="1"/>
        <v>1790</v>
      </c>
      <c r="F47" s="5">
        <v>2.9</v>
      </c>
      <c r="G47" s="5">
        <v>7.15</v>
      </c>
      <c r="H47" s="5">
        <f t="shared" si="2"/>
        <v>10.05</v>
      </c>
      <c r="I47" s="28">
        <f t="shared" si="3"/>
        <v>107937</v>
      </c>
      <c r="J47" s="5">
        <f t="shared" si="4"/>
        <v>3.101611830899999</v>
      </c>
      <c r="K47" s="5">
        <f t="shared" si="5"/>
        <v>7.64707744515</v>
      </c>
      <c r="L47" s="27">
        <f t="shared" si="6"/>
        <v>10.74868927605</v>
      </c>
      <c r="M47" s="61">
        <f t="shared" si="7"/>
        <v>115440.922824777</v>
      </c>
      <c r="N47" s="34">
        <f t="shared" si="8"/>
        <v>223377.922824777</v>
      </c>
      <c r="O47" s="34">
        <v>17486.77</v>
      </c>
      <c r="P47" s="34">
        <v>4816.87</v>
      </c>
      <c r="Q47" s="5">
        <f t="shared" si="9"/>
        <v>205891.152824777</v>
      </c>
      <c r="R47" s="30">
        <f t="shared" si="10"/>
        <v>210708.022824777</v>
      </c>
      <c r="S47" s="1">
        <v>8737.77</v>
      </c>
      <c r="T47" s="1">
        <v>9419.49</v>
      </c>
      <c r="U47" s="1">
        <v>28030.43</v>
      </c>
      <c r="V47" s="1">
        <v>8986.54</v>
      </c>
      <c r="W47" s="1">
        <v>12070.64</v>
      </c>
      <c r="X47" s="1">
        <v>12968.94</v>
      </c>
      <c r="Y47" s="1">
        <v>9382.98</v>
      </c>
      <c r="Z47" s="1">
        <v>13442.42</v>
      </c>
      <c r="AA47" s="1">
        <v>10424.89</v>
      </c>
      <c r="AB47" s="1">
        <v>6276.62</v>
      </c>
      <c r="AC47" s="165">
        <f t="shared" si="15"/>
        <v>119740.71999999999</v>
      </c>
      <c r="AD47" s="1">
        <v>0</v>
      </c>
      <c r="AE47" s="1">
        <v>5294.13</v>
      </c>
      <c r="AF47" s="1"/>
      <c r="AG47" s="1">
        <v>10642.11</v>
      </c>
      <c r="AH47" s="1">
        <v>0</v>
      </c>
      <c r="AI47" s="1">
        <v>34134.79</v>
      </c>
      <c r="AJ47" s="6">
        <f t="shared" si="11"/>
        <v>169811.75</v>
      </c>
      <c r="AK47" s="1"/>
      <c r="AL47" s="1"/>
      <c r="AM47" s="1"/>
      <c r="AN47" s="95">
        <v>41569</v>
      </c>
      <c r="AO47" s="6">
        <f t="shared" si="12"/>
        <v>211380.75</v>
      </c>
      <c r="AP47" s="136">
        <f t="shared" si="16"/>
        <v>-672.7271752230008</v>
      </c>
      <c r="AQ47" s="110"/>
      <c r="AR47" s="110"/>
      <c r="AS47" s="111"/>
      <c r="AT47" s="111">
        <f t="shared" si="17"/>
        <v>-672.7271752230008</v>
      </c>
      <c r="AU47" s="121">
        <v>2231</v>
      </c>
      <c r="AV47" s="111"/>
      <c r="AW47" s="111"/>
      <c r="AX47" s="111">
        <f>AU47-AV47-AW47</f>
        <v>2231</v>
      </c>
      <c r="AY47" s="116">
        <v>645.23</v>
      </c>
      <c r="AZ47" s="172">
        <f t="shared" si="14"/>
        <v>1585.77</v>
      </c>
      <c r="BA47" s="130">
        <v>74048.46</v>
      </c>
    </row>
    <row r="48" spans="1:53" ht="12.75">
      <c r="A48" s="1">
        <v>37</v>
      </c>
      <c r="B48" s="1" t="s">
        <v>44</v>
      </c>
      <c r="C48" s="1">
        <v>1847.5</v>
      </c>
      <c r="D48" s="1">
        <v>159.2</v>
      </c>
      <c r="E48" s="7">
        <f t="shared" si="1"/>
        <v>2006.7</v>
      </c>
      <c r="F48" s="5">
        <v>2.9</v>
      </c>
      <c r="G48" s="5">
        <v>7.09</v>
      </c>
      <c r="H48" s="5">
        <f t="shared" si="2"/>
        <v>9.99</v>
      </c>
      <c r="I48" s="28">
        <f t="shared" si="3"/>
        <v>120281.598</v>
      </c>
      <c r="J48" s="5">
        <f t="shared" si="4"/>
        <v>3.101611830899999</v>
      </c>
      <c r="K48" s="5">
        <f t="shared" si="5"/>
        <v>7.582906165889998</v>
      </c>
      <c r="L48" s="27">
        <f t="shared" si="6"/>
        <v>10.684517996789998</v>
      </c>
      <c r="M48" s="61">
        <f t="shared" si="7"/>
        <v>128643.73358495094</v>
      </c>
      <c r="N48" s="34">
        <f t="shared" si="8"/>
        <v>248925.33158495094</v>
      </c>
      <c r="O48" s="34"/>
      <c r="P48" s="34"/>
      <c r="Q48" s="5">
        <f t="shared" si="9"/>
        <v>248925.33158495094</v>
      </c>
      <c r="R48" s="30">
        <f t="shared" si="10"/>
        <v>248925.33158495094</v>
      </c>
      <c r="S48" s="1">
        <v>10120.72</v>
      </c>
      <c r="T48" s="1">
        <v>8919.51</v>
      </c>
      <c r="U48" s="1">
        <v>14404.78</v>
      </c>
      <c r="V48" s="1">
        <v>11596.63</v>
      </c>
      <c r="W48" s="1">
        <v>10532.48</v>
      </c>
      <c r="X48" s="1">
        <v>12853.62</v>
      </c>
      <c r="Y48" s="1">
        <v>10992.45</v>
      </c>
      <c r="Z48" s="1">
        <v>10941.93</v>
      </c>
      <c r="AA48" s="1">
        <v>11008.1</v>
      </c>
      <c r="AB48" s="1">
        <v>4577.97</v>
      </c>
      <c r="AC48" s="165">
        <f t="shared" si="15"/>
        <v>105948.19</v>
      </c>
      <c r="AD48" s="1">
        <v>0</v>
      </c>
      <c r="AE48" s="1">
        <v>5822.29</v>
      </c>
      <c r="AF48" s="1"/>
      <c r="AG48" s="1">
        <v>20362.18</v>
      </c>
      <c r="AH48" s="1">
        <v>0</v>
      </c>
      <c r="AI48" s="1">
        <v>19527.69</v>
      </c>
      <c r="AJ48" s="6">
        <f t="shared" si="11"/>
        <v>151660.35</v>
      </c>
      <c r="AK48" s="1"/>
      <c r="AL48" s="1"/>
      <c r="AM48" s="1"/>
      <c r="AN48" s="1"/>
      <c r="AO48" s="6">
        <f t="shared" si="12"/>
        <v>151660.35</v>
      </c>
      <c r="AP48" s="91">
        <f t="shared" si="16"/>
        <v>97264.98158495093</v>
      </c>
      <c r="AQ48" s="10">
        <v>13500.33</v>
      </c>
      <c r="AR48" s="10">
        <v>19520.16</v>
      </c>
      <c r="AS48" s="34"/>
      <c r="AT48" s="116">
        <f t="shared" si="17"/>
        <v>130285.47158495094</v>
      </c>
      <c r="AU48" s="116"/>
      <c r="AV48" s="116"/>
      <c r="AW48" s="116">
        <v>2390</v>
      </c>
      <c r="AX48" s="116">
        <f>AT48+AU48-AV48-AW48</f>
        <v>127895.47158495094</v>
      </c>
      <c r="AY48" s="116">
        <v>37680.09</v>
      </c>
      <c r="AZ48" s="172">
        <f t="shared" si="14"/>
        <v>90215.38158495094</v>
      </c>
      <c r="BA48" s="130">
        <v>109574.76</v>
      </c>
    </row>
    <row r="49" spans="1:54" ht="12.75">
      <c r="A49" s="1">
        <v>38</v>
      </c>
      <c r="B49" s="84" t="s">
        <v>45</v>
      </c>
      <c r="C49" s="1">
        <v>2512.4</v>
      </c>
      <c r="D49" s="10">
        <f>317.9-57.7</f>
        <v>260.2</v>
      </c>
      <c r="E49" s="11">
        <f t="shared" si="1"/>
        <v>2772.6</v>
      </c>
      <c r="F49" s="5">
        <v>2.9</v>
      </c>
      <c r="G49" s="5">
        <v>7.46</v>
      </c>
      <c r="H49" s="5">
        <f t="shared" si="2"/>
        <v>10.36</v>
      </c>
      <c r="I49" s="28">
        <f t="shared" si="3"/>
        <v>172344.816</v>
      </c>
      <c r="J49" s="5">
        <f t="shared" si="4"/>
        <v>3.101611830899999</v>
      </c>
      <c r="K49" s="5">
        <f t="shared" si="5"/>
        <v>7.978629054659999</v>
      </c>
      <c r="L49" s="27">
        <f t="shared" si="6"/>
        <v>11.080240885559999</v>
      </c>
      <c r="M49" s="61">
        <f t="shared" si="7"/>
        <v>184326.4552758219</v>
      </c>
      <c r="N49" s="34">
        <f t="shared" si="8"/>
        <v>356671.2712758219</v>
      </c>
      <c r="O49" s="34"/>
      <c r="P49" s="34"/>
      <c r="Q49" s="5">
        <f t="shared" si="9"/>
        <v>356671.2712758219</v>
      </c>
      <c r="R49" s="30">
        <f t="shared" si="10"/>
        <v>356671.2712758219</v>
      </c>
      <c r="S49" s="1">
        <v>21052.74</v>
      </c>
      <c r="T49" s="1">
        <v>13432.75</v>
      </c>
      <c r="U49" s="1">
        <v>12373.08</v>
      </c>
      <c r="V49" s="1">
        <v>24712.17</v>
      </c>
      <c r="W49" s="1">
        <v>13996.14</v>
      </c>
      <c r="X49" s="1">
        <v>14729.21</v>
      </c>
      <c r="Y49" s="1">
        <v>20011.35</v>
      </c>
      <c r="Z49" s="1">
        <v>13449.56</v>
      </c>
      <c r="AA49" s="1">
        <v>16448.46</v>
      </c>
      <c r="AB49" s="1">
        <v>6367.5</v>
      </c>
      <c r="AC49" s="165">
        <f t="shared" si="15"/>
        <v>156572.96</v>
      </c>
      <c r="AD49" s="1">
        <v>14263.43</v>
      </c>
      <c r="AE49" s="1">
        <v>3415.79</v>
      </c>
      <c r="AF49" s="1">
        <v>9690.64</v>
      </c>
      <c r="AG49" s="1">
        <v>15898.58</v>
      </c>
      <c r="AH49" s="1">
        <v>16293.37</v>
      </c>
      <c r="AI49" s="1">
        <v>9986.61</v>
      </c>
      <c r="AJ49" s="6">
        <f t="shared" si="11"/>
        <v>226121.38</v>
      </c>
      <c r="AK49" s="1"/>
      <c r="AL49" s="1"/>
      <c r="AM49" s="1"/>
      <c r="AN49" s="1"/>
      <c r="AO49" s="6">
        <f t="shared" si="12"/>
        <v>226121.38</v>
      </c>
      <c r="AP49" s="91">
        <f t="shared" si="16"/>
        <v>130549.8912758219</v>
      </c>
      <c r="AQ49" s="10"/>
      <c r="AR49" s="10">
        <v>76870.57</v>
      </c>
      <c r="AS49" s="34"/>
      <c r="AT49" s="116">
        <f t="shared" si="17"/>
        <v>207420.4612758219</v>
      </c>
      <c r="AU49" s="116">
        <v>3996</v>
      </c>
      <c r="AV49" s="116"/>
      <c r="AW49" s="116">
        <v>48690.19</v>
      </c>
      <c r="AX49" s="116">
        <f>AT49+AU49-AV49-AW49</f>
        <v>162726.2712758219</v>
      </c>
      <c r="AY49" s="116">
        <v>47062.36</v>
      </c>
      <c r="AZ49" s="172">
        <f t="shared" si="14"/>
        <v>115663.9112758219</v>
      </c>
      <c r="BA49" s="130">
        <v>142828.55</v>
      </c>
      <c r="BB49" s="12"/>
    </row>
    <row r="50" spans="1:53" ht="12.75" customHeight="1">
      <c r="A50" s="1">
        <v>39</v>
      </c>
      <c r="B50" s="1" t="s">
        <v>46</v>
      </c>
      <c r="C50" s="1">
        <v>2008.1</v>
      </c>
      <c r="D50" s="1">
        <v>0</v>
      </c>
      <c r="E50" s="7">
        <f t="shared" si="1"/>
        <v>2008.1</v>
      </c>
      <c r="F50" s="5">
        <v>2.9</v>
      </c>
      <c r="G50" s="5">
        <v>7.15</v>
      </c>
      <c r="H50" s="5">
        <f t="shared" si="2"/>
        <v>10.05</v>
      </c>
      <c r="I50" s="28">
        <f t="shared" si="3"/>
        <v>121088.43</v>
      </c>
      <c r="J50" s="5">
        <f t="shared" si="4"/>
        <v>3.101611830899999</v>
      </c>
      <c r="K50" s="5">
        <f t="shared" si="5"/>
        <v>7.64707744515</v>
      </c>
      <c r="L50" s="27">
        <f t="shared" si="6"/>
        <v>10.74868927605</v>
      </c>
      <c r="M50" s="61">
        <f t="shared" si="7"/>
        <v>129506.65761141601</v>
      </c>
      <c r="N50" s="34">
        <f t="shared" si="8"/>
        <v>250595.087611416</v>
      </c>
      <c r="O50" s="34"/>
      <c r="P50" s="34"/>
      <c r="Q50" s="5">
        <f t="shared" si="9"/>
        <v>250595.087611416</v>
      </c>
      <c r="R50" s="30">
        <f t="shared" si="10"/>
        <v>250595.087611416</v>
      </c>
      <c r="S50" s="1">
        <v>10269.58</v>
      </c>
      <c r="T50" s="1">
        <v>14683.37</v>
      </c>
      <c r="U50" s="1">
        <v>41532.24</v>
      </c>
      <c r="V50" s="1">
        <v>40694.24</v>
      </c>
      <c r="W50" s="1">
        <v>23155.2</v>
      </c>
      <c r="X50" s="1">
        <v>18261.07</v>
      </c>
      <c r="Y50" s="1">
        <v>20226.86</v>
      </c>
      <c r="Z50" s="1">
        <v>12929.57</v>
      </c>
      <c r="AA50" s="1">
        <v>18277.3</v>
      </c>
      <c r="AB50" s="1">
        <v>8957.79</v>
      </c>
      <c r="AC50" s="165">
        <f t="shared" si="15"/>
        <v>208987.22</v>
      </c>
      <c r="AD50" s="1">
        <v>0</v>
      </c>
      <c r="AE50" s="1">
        <v>7412.2</v>
      </c>
      <c r="AF50" s="1"/>
      <c r="AG50" s="1">
        <v>13304.95</v>
      </c>
      <c r="AH50" s="1">
        <v>0</v>
      </c>
      <c r="AI50" s="1">
        <v>29423.32</v>
      </c>
      <c r="AJ50" s="6">
        <f t="shared" si="11"/>
        <v>259127.69000000003</v>
      </c>
      <c r="AK50" s="1"/>
      <c r="AL50" s="1"/>
      <c r="AM50" s="1"/>
      <c r="AN50" s="1"/>
      <c r="AO50" s="6">
        <f t="shared" si="12"/>
        <v>259127.69000000003</v>
      </c>
      <c r="AP50" s="136">
        <f t="shared" si="16"/>
        <v>-8532.602388584026</v>
      </c>
      <c r="AQ50" s="110">
        <v>19295.39</v>
      </c>
      <c r="AR50" s="110">
        <v>-58207.28</v>
      </c>
      <c r="AS50" s="111"/>
      <c r="AT50" s="111">
        <f t="shared" si="17"/>
        <v>-47444.492388584025</v>
      </c>
      <c r="AU50" s="121"/>
      <c r="AV50" s="111"/>
      <c r="AW50" s="111"/>
      <c r="AX50" s="111"/>
      <c r="AY50" s="116"/>
      <c r="AZ50" s="172">
        <f t="shared" si="14"/>
        <v>0</v>
      </c>
      <c r="BA50" s="130">
        <v>56535.2</v>
      </c>
    </row>
    <row r="51" spans="1:53" ht="12.75" customHeight="1">
      <c r="A51" s="1">
        <v>40</v>
      </c>
      <c r="B51" s="84" t="s">
        <v>47</v>
      </c>
      <c r="C51" s="1">
        <v>1272.3</v>
      </c>
      <c r="D51" s="1">
        <v>0</v>
      </c>
      <c r="E51" s="7">
        <f t="shared" si="1"/>
        <v>1272.3</v>
      </c>
      <c r="F51" s="5">
        <v>2.9</v>
      </c>
      <c r="G51" s="5">
        <v>7.26</v>
      </c>
      <c r="H51" s="5">
        <f t="shared" si="2"/>
        <v>10.16</v>
      </c>
      <c r="I51" s="28">
        <f t="shared" si="3"/>
        <v>77559.408</v>
      </c>
      <c r="J51" s="5">
        <f t="shared" si="4"/>
        <v>3.101611830899999</v>
      </c>
      <c r="K51" s="5">
        <f t="shared" si="5"/>
        <v>7.764724790459999</v>
      </c>
      <c r="L51" s="27">
        <f t="shared" si="6"/>
        <v>10.866336621359999</v>
      </c>
      <c r="M51" s="61">
        <f t="shared" si="7"/>
        <v>82951.44050013795</v>
      </c>
      <c r="N51" s="34">
        <f t="shared" si="8"/>
        <v>160510.84850013794</v>
      </c>
      <c r="O51" s="34"/>
      <c r="P51" s="34"/>
      <c r="Q51" s="5">
        <f t="shared" si="9"/>
        <v>160510.84850013794</v>
      </c>
      <c r="R51" s="30">
        <f t="shared" si="10"/>
        <v>160510.84850013794</v>
      </c>
      <c r="S51" s="1">
        <v>8535.67</v>
      </c>
      <c r="T51" s="1">
        <v>21664.11</v>
      </c>
      <c r="U51" s="1">
        <v>7118.3</v>
      </c>
      <c r="V51" s="1">
        <v>7401.76</v>
      </c>
      <c r="W51" s="1">
        <v>10809.41</v>
      </c>
      <c r="X51" s="1">
        <v>8934.22</v>
      </c>
      <c r="Y51" s="1">
        <v>6356.88</v>
      </c>
      <c r="Z51" s="1">
        <v>13310.73</v>
      </c>
      <c r="AA51" s="1">
        <v>9709.4</v>
      </c>
      <c r="AB51" s="1">
        <v>5575.02</v>
      </c>
      <c r="AC51" s="165">
        <f t="shared" si="15"/>
        <v>99415.5</v>
      </c>
      <c r="AD51" s="1">
        <v>10673.9</v>
      </c>
      <c r="AE51" s="1">
        <v>2167.13</v>
      </c>
      <c r="AF51" s="1">
        <v>64180.48</v>
      </c>
      <c r="AG51" s="1">
        <v>4151.44</v>
      </c>
      <c r="AH51" s="1">
        <v>59411.99</v>
      </c>
      <c r="AI51" s="1">
        <v>16223.34</v>
      </c>
      <c r="AJ51" s="6">
        <f t="shared" si="11"/>
        <v>256223.78</v>
      </c>
      <c r="AK51" s="1"/>
      <c r="AL51" s="1"/>
      <c r="AM51" s="1"/>
      <c r="AN51" s="1"/>
      <c r="AO51" s="6">
        <f t="shared" si="12"/>
        <v>256223.78</v>
      </c>
      <c r="AP51" s="136">
        <f t="shared" si="16"/>
        <v>-95712.93149986205</v>
      </c>
      <c r="AQ51" s="110"/>
      <c r="AR51" s="110">
        <v>-51766.32</v>
      </c>
      <c r="AS51" s="111"/>
      <c r="AT51" s="111">
        <f t="shared" si="17"/>
        <v>-147479.25149986206</v>
      </c>
      <c r="AU51" s="121"/>
      <c r="AV51" s="111"/>
      <c r="AW51" s="111"/>
      <c r="AX51" s="111"/>
      <c r="AY51" s="116"/>
      <c r="AZ51" s="172">
        <f t="shared" si="14"/>
        <v>0</v>
      </c>
      <c r="BA51" s="130">
        <v>72640.5</v>
      </c>
    </row>
    <row r="52" spans="1:54" ht="12.75">
      <c r="A52" s="1">
        <v>41</v>
      </c>
      <c r="B52" s="1" t="s">
        <v>48</v>
      </c>
      <c r="C52" s="1">
        <v>1948.8</v>
      </c>
      <c r="D52" s="1">
        <v>221.4</v>
      </c>
      <c r="E52" s="7">
        <f t="shared" si="1"/>
        <v>2170.2</v>
      </c>
      <c r="F52" s="5">
        <v>2.9</v>
      </c>
      <c r="G52" s="5">
        <v>7.26</v>
      </c>
      <c r="H52" s="5">
        <f t="shared" si="2"/>
        <v>10.16</v>
      </c>
      <c r="I52" s="28">
        <f t="shared" si="3"/>
        <v>132295.392</v>
      </c>
      <c r="J52" s="5">
        <f t="shared" si="4"/>
        <v>3.101611830899999</v>
      </c>
      <c r="K52" s="5">
        <f t="shared" si="5"/>
        <v>7.764724790459999</v>
      </c>
      <c r="L52" s="27">
        <f t="shared" si="6"/>
        <v>10.866336621359999</v>
      </c>
      <c r="M52" s="61">
        <f t="shared" si="7"/>
        <v>141492.7424140528</v>
      </c>
      <c r="N52" s="34">
        <f t="shared" si="8"/>
        <v>273788.1344140528</v>
      </c>
      <c r="O52" s="34"/>
      <c r="P52" s="34"/>
      <c r="Q52" s="5">
        <f t="shared" si="9"/>
        <v>273788.1344140528</v>
      </c>
      <c r="R52" s="30">
        <f t="shared" si="10"/>
        <v>273788.1344140528</v>
      </c>
      <c r="S52" s="1">
        <v>10734.01</v>
      </c>
      <c r="T52" s="1">
        <v>10046.56</v>
      </c>
      <c r="U52" s="1">
        <v>12435.72</v>
      </c>
      <c r="V52" s="1">
        <v>9101.32</v>
      </c>
      <c r="W52" s="1">
        <v>17849</v>
      </c>
      <c r="X52" s="1">
        <v>13183.85</v>
      </c>
      <c r="Y52" s="1">
        <v>9687.7</v>
      </c>
      <c r="Z52" s="1">
        <v>14810.52</v>
      </c>
      <c r="AA52" s="1">
        <v>12624.2</v>
      </c>
      <c r="AB52" s="1">
        <v>3660.71</v>
      </c>
      <c r="AC52" s="165">
        <f t="shared" si="15"/>
        <v>114133.59000000001</v>
      </c>
      <c r="AD52" s="1">
        <v>0</v>
      </c>
      <c r="AE52" s="1">
        <v>6299.78</v>
      </c>
      <c r="AF52" s="1"/>
      <c r="AG52" s="1">
        <v>21522.99</v>
      </c>
      <c r="AH52" s="1">
        <v>0</v>
      </c>
      <c r="AI52" s="1">
        <v>15522.6</v>
      </c>
      <c r="AJ52" s="6">
        <f t="shared" si="11"/>
        <v>157478.96000000002</v>
      </c>
      <c r="AK52" s="1"/>
      <c r="AL52" s="1"/>
      <c r="AM52" s="1"/>
      <c r="AN52" s="1"/>
      <c r="AO52" s="6">
        <f t="shared" si="12"/>
        <v>157478.96000000002</v>
      </c>
      <c r="AP52" s="91">
        <f t="shared" si="16"/>
        <v>116309.1744140528</v>
      </c>
      <c r="AQ52" s="10">
        <v>112270.98</v>
      </c>
      <c r="AR52" s="10">
        <v>-62552.29</v>
      </c>
      <c r="AS52" s="34"/>
      <c r="AT52" s="116">
        <f t="shared" si="17"/>
        <v>166027.86441405278</v>
      </c>
      <c r="AU52" s="116"/>
      <c r="AV52" s="162">
        <f>40793.19+50574</f>
        <v>91367.19</v>
      </c>
      <c r="AW52" s="116">
        <v>2563</v>
      </c>
      <c r="AX52" s="116">
        <f>AT52+AU52-AV52-AW52</f>
        <v>72097.67441405277</v>
      </c>
      <c r="AY52" s="116">
        <v>21592.75</v>
      </c>
      <c r="AZ52" s="172">
        <f t="shared" si="14"/>
        <v>50504.92441405277</v>
      </c>
      <c r="BA52" s="130">
        <v>123735.56</v>
      </c>
      <c r="BB52" s="163"/>
    </row>
    <row r="53" spans="1:53" ht="12.75">
      <c r="A53" s="1">
        <v>42</v>
      </c>
      <c r="B53" s="84" t="s">
        <v>49</v>
      </c>
      <c r="C53" s="1">
        <v>1073.1</v>
      </c>
      <c r="D53" s="1">
        <v>217.6</v>
      </c>
      <c r="E53" s="7">
        <f t="shared" si="1"/>
        <v>1290.6999999999998</v>
      </c>
      <c r="F53" s="5">
        <v>2.9</v>
      </c>
      <c r="G53" s="5">
        <v>7.18</v>
      </c>
      <c r="H53" s="5">
        <f t="shared" si="2"/>
        <v>10.08</v>
      </c>
      <c r="I53" s="28">
        <f t="shared" si="3"/>
        <v>78061.536</v>
      </c>
      <c r="J53" s="5">
        <f t="shared" si="4"/>
        <v>3.101611830899999</v>
      </c>
      <c r="K53" s="5">
        <f t="shared" si="5"/>
        <v>7.679163084779998</v>
      </c>
      <c r="L53" s="27">
        <f t="shared" si="6"/>
        <v>10.780774915679997</v>
      </c>
      <c r="M53" s="61">
        <f t="shared" si="7"/>
        <v>83488.47710200903</v>
      </c>
      <c r="N53" s="34">
        <f t="shared" si="8"/>
        <v>161550.01310200902</v>
      </c>
      <c r="O53" s="34">
        <v>12745.25</v>
      </c>
      <c r="P53" s="34">
        <v>46831.59</v>
      </c>
      <c r="Q53" s="5">
        <f t="shared" si="9"/>
        <v>148804.76310200902</v>
      </c>
      <c r="R53" s="30">
        <f t="shared" si="10"/>
        <v>195636.35310200902</v>
      </c>
      <c r="S53" s="1">
        <v>7046.81</v>
      </c>
      <c r="T53" s="1">
        <v>6058.08</v>
      </c>
      <c r="U53" s="1">
        <v>8935</v>
      </c>
      <c r="V53" s="1">
        <v>6820.75</v>
      </c>
      <c r="W53" s="1">
        <v>5860.91</v>
      </c>
      <c r="X53" s="1">
        <v>8434.38</v>
      </c>
      <c r="Y53" s="1">
        <v>6431.64</v>
      </c>
      <c r="Z53" s="1">
        <v>15345.06</v>
      </c>
      <c r="AA53" s="1">
        <v>6823.64</v>
      </c>
      <c r="AB53" s="1">
        <v>5343.38</v>
      </c>
      <c r="AC53" s="165">
        <f t="shared" si="15"/>
        <v>77099.65000000001</v>
      </c>
      <c r="AD53" s="1">
        <v>1961.26</v>
      </c>
      <c r="AE53" s="1">
        <v>10150.83</v>
      </c>
      <c r="AF53" s="1">
        <v>4487.8</v>
      </c>
      <c r="AG53" s="1">
        <v>10101.99</v>
      </c>
      <c r="AH53" s="1">
        <v>4169.72</v>
      </c>
      <c r="AI53" s="1">
        <v>3316.3</v>
      </c>
      <c r="AJ53" s="6">
        <f t="shared" si="11"/>
        <v>111287.55000000002</v>
      </c>
      <c r="AK53" s="1"/>
      <c r="AL53" s="1"/>
      <c r="AM53" s="1"/>
      <c r="AN53" s="1">
        <v>3314</v>
      </c>
      <c r="AO53" s="6">
        <f t="shared" si="12"/>
        <v>114601.55000000002</v>
      </c>
      <c r="AP53" s="91">
        <f t="shared" si="16"/>
        <v>81034.803102009</v>
      </c>
      <c r="AQ53" s="10"/>
      <c r="AR53" s="10"/>
      <c r="AS53" s="34"/>
      <c r="AT53" s="116">
        <f t="shared" si="17"/>
        <v>81034.803102009</v>
      </c>
      <c r="AU53" s="116"/>
      <c r="AV53" s="116"/>
      <c r="AW53" s="116"/>
      <c r="AX53" s="116">
        <f>AT53+AU53-AV53-AW53</f>
        <v>81034.803102009</v>
      </c>
      <c r="AY53" s="116">
        <v>23436.22</v>
      </c>
      <c r="AZ53" s="172">
        <f t="shared" si="14"/>
        <v>57598.583102009</v>
      </c>
      <c r="BA53" s="130">
        <v>115018.08</v>
      </c>
    </row>
    <row r="54" spans="1:53" ht="12.75">
      <c r="A54" s="1">
        <v>43</v>
      </c>
      <c r="B54" s="84" t="s">
        <v>50</v>
      </c>
      <c r="C54" s="1">
        <v>2567.9</v>
      </c>
      <c r="D54" s="1">
        <v>0</v>
      </c>
      <c r="E54" s="7">
        <f t="shared" si="1"/>
        <v>2567.9</v>
      </c>
      <c r="F54" s="5">
        <v>2.9</v>
      </c>
      <c r="G54" s="5">
        <v>7.46</v>
      </c>
      <c r="H54" s="5">
        <f t="shared" si="2"/>
        <v>10.36</v>
      </c>
      <c r="I54" s="28">
        <f t="shared" si="3"/>
        <v>159620.664</v>
      </c>
      <c r="J54" s="5">
        <f t="shared" si="4"/>
        <v>3.101611830899999</v>
      </c>
      <c r="K54" s="5">
        <f t="shared" si="5"/>
        <v>7.978629054659999</v>
      </c>
      <c r="L54" s="27">
        <f t="shared" si="6"/>
        <v>11.080240885559999</v>
      </c>
      <c r="M54" s="61">
        <f t="shared" si="7"/>
        <v>170717.7034201771</v>
      </c>
      <c r="N54" s="34">
        <f t="shared" si="8"/>
        <v>330338.3674201771</v>
      </c>
      <c r="O54" s="34"/>
      <c r="P54" s="34"/>
      <c r="Q54" s="5">
        <f t="shared" si="9"/>
        <v>330338.3674201771</v>
      </c>
      <c r="R54" s="30">
        <f t="shared" si="10"/>
        <v>330338.3674201771</v>
      </c>
      <c r="S54" s="1">
        <v>14372.89</v>
      </c>
      <c r="T54" s="1">
        <v>12754</v>
      </c>
      <c r="U54" s="1">
        <v>12084.29</v>
      </c>
      <c r="V54" s="1">
        <v>11820.04</v>
      </c>
      <c r="W54" s="1">
        <v>11853.08</v>
      </c>
      <c r="X54" s="1">
        <v>17574.12</v>
      </c>
      <c r="Y54" s="1">
        <v>12120.96</v>
      </c>
      <c r="Z54" s="1">
        <v>13624.38</v>
      </c>
      <c r="AA54" s="1">
        <v>12114.13</v>
      </c>
      <c r="AB54" s="1">
        <v>4602.62</v>
      </c>
      <c r="AC54" s="165">
        <f t="shared" si="15"/>
        <v>122920.51000000001</v>
      </c>
      <c r="AD54" s="1">
        <v>6891.12</v>
      </c>
      <c r="AE54" s="1">
        <v>4233.05</v>
      </c>
      <c r="AF54" s="1">
        <v>6917.62</v>
      </c>
      <c r="AG54" s="1">
        <v>13476.54</v>
      </c>
      <c r="AH54" s="1">
        <v>9435.91</v>
      </c>
      <c r="AI54" s="1">
        <v>16221.9</v>
      </c>
      <c r="AJ54" s="6">
        <f t="shared" si="11"/>
        <v>180096.65</v>
      </c>
      <c r="AK54" s="1"/>
      <c r="AL54" s="1"/>
      <c r="AM54" s="1"/>
      <c r="AN54" s="1">
        <v>40372</v>
      </c>
      <c r="AO54" s="6">
        <f t="shared" si="12"/>
        <v>220468.65</v>
      </c>
      <c r="AP54" s="91">
        <f t="shared" si="16"/>
        <v>109869.7174201771</v>
      </c>
      <c r="AQ54" s="10">
        <v>44127.72</v>
      </c>
      <c r="AR54" s="10">
        <v>-36418.53</v>
      </c>
      <c r="AS54" s="34"/>
      <c r="AT54" s="116">
        <f t="shared" si="17"/>
        <v>117578.9074201771</v>
      </c>
      <c r="AU54" s="116"/>
      <c r="AV54" s="116"/>
      <c r="AW54" s="116">
        <f>2264.96+7974</f>
        <v>10238.96</v>
      </c>
      <c r="AX54" s="116">
        <f>AT54+AU54-AV54-AW54</f>
        <v>107339.94742017711</v>
      </c>
      <c r="AY54" s="116">
        <v>31043.98</v>
      </c>
      <c r="AZ54" s="172">
        <f t="shared" si="14"/>
        <v>76295.96742017711</v>
      </c>
      <c r="BA54" s="130">
        <v>148670.71</v>
      </c>
    </row>
    <row r="55" spans="1:53" ht="12.75">
      <c r="A55" s="1">
        <v>44</v>
      </c>
      <c r="B55" s="84" t="s">
        <v>51</v>
      </c>
      <c r="C55" s="1">
        <v>4519.7</v>
      </c>
      <c r="D55" s="1">
        <v>300.7</v>
      </c>
      <c r="E55" s="7">
        <f t="shared" si="1"/>
        <v>4820.4</v>
      </c>
      <c r="F55" s="5">
        <v>2.9</v>
      </c>
      <c r="G55" s="5">
        <v>7.46</v>
      </c>
      <c r="H55" s="5">
        <f t="shared" si="2"/>
        <v>10.36</v>
      </c>
      <c r="I55" s="28">
        <f t="shared" si="3"/>
        <v>299636.06399999995</v>
      </c>
      <c r="J55" s="5">
        <f t="shared" si="4"/>
        <v>3.101611830899999</v>
      </c>
      <c r="K55" s="5">
        <f t="shared" si="5"/>
        <v>7.978629054659999</v>
      </c>
      <c r="L55" s="27">
        <f t="shared" si="6"/>
        <v>11.080240885559999</v>
      </c>
      <c r="M55" s="61">
        <f t="shared" si="7"/>
        <v>320467.1589885205</v>
      </c>
      <c r="N55" s="34">
        <f t="shared" si="8"/>
        <v>620103.2229885205</v>
      </c>
      <c r="O55" s="34">
        <v>73232.5</v>
      </c>
      <c r="P55" s="34">
        <v>116568.4</v>
      </c>
      <c r="Q55" s="5">
        <f t="shared" si="9"/>
        <v>546870.7229885205</v>
      </c>
      <c r="R55" s="30">
        <f t="shared" si="10"/>
        <v>663439.1229885205</v>
      </c>
      <c r="S55" s="1">
        <v>26067.56</v>
      </c>
      <c r="T55" s="1">
        <v>21975.21</v>
      </c>
      <c r="U55" s="1">
        <v>36318.03</v>
      </c>
      <c r="V55" s="1">
        <v>27587.44</v>
      </c>
      <c r="W55" s="1">
        <v>27770.81</v>
      </c>
      <c r="X55" s="1">
        <v>28380.48</v>
      </c>
      <c r="Y55" s="1">
        <v>33450.12</v>
      </c>
      <c r="Z55" s="1">
        <v>26077.55</v>
      </c>
      <c r="AA55" s="1">
        <v>23476.39</v>
      </c>
      <c r="AB55" s="1">
        <v>9563.28</v>
      </c>
      <c r="AC55" s="165">
        <f t="shared" si="15"/>
        <v>260666.87000000002</v>
      </c>
      <c r="AD55" s="1">
        <v>21934.94</v>
      </c>
      <c r="AE55" s="1">
        <v>5823.26</v>
      </c>
      <c r="AF55" s="1">
        <v>13889.31</v>
      </c>
      <c r="AG55" s="1">
        <v>18062.45</v>
      </c>
      <c r="AH55" s="1">
        <v>28564.5</v>
      </c>
      <c r="AI55" s="1">
        <v>11770.96</v>
      </c>
      <c r="AJ55" s="6">
        <f t="shared" si="11"/>
        <v>360712.29000000004</v>
      </c>
      <c r="AK55" s="1"/>
      <c r="AL55" s="1"/>
      <c r="AM55" s="1">
        <v>80096</v>
      </c>
      <c r="AN55" s="95">
        <v>37729</v>
      </c>
      <c r="AO55" s="6">
        <f t="shared" si="12"/>
        <v>478537.29000000004</v>
      </c>
      <c r="AP55" s="91">
        <f t="shared" si="16"/>
        <v>184901.8329885205</v>
      </c>
      <c r="AQ55" s="10"/>
      <c r="AR55" s="10"/>
      <c r="AS55" s="34"/>
      <c r="AT55" s="116">
        <f t="shared" si="17"/>
        <v>184901.8329885205</v>
      </c>
      <c r="AU55" s="116">
        <v>2897</v>
      </c>
      <c r="AV55" s="116"/>
      <c r="AW55" s="116"/>
      <c r="AX55" s="116">
        <f>AT55+AU55-AV55-AW55</f>
        <v>187798.8329885205</v>
      </c>
      <c r="AY55" s="116">
        <v>54313.64</v>
      </c>
      <c r="AZ55" s="172">
        <f t="shared" si="14"/>
        <v>133485.1929885205</v>
      </c>
      <c r="BA55" s="130">
        <v>316008.15</v>
      </c>
    </row>
    <row r="56" spans="1:53" ht="12.75">
      <c r="A56" s="1">
        <v>45</v>
      </c>
      <c r="B56" s="84" t="s">
        <v>52</v>
      </c>
      <c r="C56" s="1">
        <v>802.6</v>
      </c>
      <c r="D56" s="1">
        <v>0</v>
      </c>
      <c r="E56" s="7">
        <f t="shared" si="1"/>
        <v>802.6</v>
      </c>
      <c r="F56" s="5">
        <v>2.9</v>
      </c>
      <c r="G56" s="5">
        <v>4.77</v>
      </c>
      <c r="H56" s="5">
        <f t="shared" si="2"/>
        <v>7.67</v>
      </c>
      <c r="I56" s="28">
        <f t="shared" si="3"/>
        <v>36935.652</v>
      </c>
      <c r="J56" s="5">
        <f t="shared" si="4"/>
        <v>3.101611830899999</v>
      </c>
      <c r="K56" s="5">
        <f t="shared" si="5"/>
        <v>5.101616701169998</v>
      </c>
      <c r="L56" s="27">
        <f t="shared" si="6"/>
        <v>8.203228532069998</v>
      </c>
      <c r="M56" s="61">
        <f t="shared" si="7"/>
        <v>39503.46731903628</v>
      </c>
      <c r="N56" s="34">
        <f t="shared" si="8"/>
        <v>76439.11931903628</v>
      </c>
      <c r="O56" s="34"/>
      <c r="P56" s="34"/>
      <c r="Q56" s="5">
        <f t="shared" si="9"/>
        <v>76439.11931903628</v>
      </c>
      <c r="R56" s="30">
        <f t="shared" si="10"/>
        <v>76439.11931903628</v>
      </c>
      <c r="S56" s="1">
        <v>1654.43</v>
      </c>
      <c r="T56" s="1">
        <v>2931.36</v>
      </c>
      <c r="U56" s="1">
        <v>2931.36</v>
      </c>
      <c r="V56" s="1">
        <v>1654.43</v>
      </c>
      <c r="W56" s="1">
        <v>1654.43</v>
      </c>
      <c r="X56" s="1">
        <v>1654.43</v>
      </c>
      <c r="Y56" s="1">
        <v>1758.77</v>
      </c>
      <c r="Z56" s="1">
        <v>2912.63</v>
      </c>
      <c r="AA56" s="1">
        <v>30649.82</v>
      </c>
      <c r="AB56" s="1">
        <v>34164.45</v>
      </c>
      <c r="AC56" s="165">
        <f t="shared" si="15"/>
        <v>81966.11</v>
      </c>
      <c r="AD56" s="1">
        <v>1265.56</v>
      </c>
      <c r="AE56" s="1">
        <v>969.07</v>
      </c>
      <c r="AF56" s="1">
        <v>1165.53</v>
      </c>
      <c r="AG56" s="1">
        <v>1758.77</v>
      </c>
      <c r="AH56" s="1">
        <v>1662.5</v>
      </c>
      <c r="AI56" s="1">
        <v>1758.77</v>
      </c>
      <c r="AJ56" s="6">
        <f t="shared" si="11"/>
        <v>90546.31000000001</v>
      </c>
      <c r="AK56" s="1"/>
      <c r="AL56" s="1"/>
      <c r="AM56" s="1"/>
      <c r="AN56" s="1"/>
      <c r="AO56" s="6">
        <f t="shared" si="12"/>
        <v>90546.31000000001</v>
      </c>
      <c r="AP56" s="136">
        <f t="shared" si="16"/>
        <v>-14107.19068096373</v>
      </c>
      <c r="AQ56" s="110"/>
      <c r="AR56" s="110">
        <v>5708.08</v>
      </c>
      <c r="AS56" s="111"/>
      <c r="AT56" s="111">
        <f t="shared" si="17"/>
        <v>-8399.11068096373</v>
      </c>
      <c r="AU56" s="121">
        <v>1376</v>
      </c>
      <c r="AV56" s="111"/>
      <c r="AW56" s="111"/>
      <c r="AX56" s="111">
        <f>AU56-AV56-AW56</f>
        <v>1376</v>
      </c>
      <c r="AY56" s="116">
        <v>397.96</v>
      </c>
      <c r="AZ56" s="172">
        <f t="shared" si="14"/>
        <v>978.04</v>
      </c>
      <c r="BA56" s="130">
        <v>31621.63</v>
      </c>
    </row>
    <row r="57" spans="1:53" ht="12.75">
      <c r="A57" s="1">
        <v>46</v>
      </c>
      <c r="B57" s="84" t="s">
        <v>53</v>
      </c>
      <c r="C57" s="1">
        <v>291.8</v>
      </c>
      <c r="D57" s="1">
        <v>0</v>
      </c>
      <c r="E57" s="7">
        <f t="shared" si="1"/>
        <v>291.8</v>
      </c>
      <c r="F57" s="5">
        <v>2.9</v>
      </c>
      <c r="G57" s="5">
        <v>5.96</v>
      </c>
      <c r="H57" s="5">
        <f t="shared" si="2"/>
        <v>8.86</v>
      </c>
      <c r="I57" s="28">
        <f t="shared" si="3"/>
        <v>15512.088</v>
      </c>
      <c r="J57" s="5">
        <f t="shared" si="4"/>
        <v>3.101611830899999</v>
      </c>
      <c r="K57" s="5">
        <f t="shared" si="5"/>
        <v>6.374347073159999</v>
      </c>
      <c r="L57" s="27">
        <f t="shared" si="6"/>
        <v>9.475958904059999</v>
      </c>
      <c r="M57" s="61">
        <f t="shared" si="7"/>
        <v>16590.508849228245</v>
      </c>
      <c r="N57" s="34">
        <f t="shared" si="8"/>
        <v>32102.596849228245</v>
      </c>
      <c r="O57" s="34"/>
      <c r="P57" s="34"/>
      <c r="Q57" s="5">
        <f t="shared" si="9"/>
        <v>32102.596849228245</v>
      </c>
      <c r="R57" s="30">
        <f t="shared" si="10"/>
        <v>32102.596849228245</v>
      </c>
      <c r="S57" s="1">
        <v>1209.73</v>
      </c>
      <c r="T57" s="1">
        <v>1209.73</v>
      </c>
      <c r="U57" s="1">
        <v>1209.73</v>
      </c>
      <c r="V57" s="1">
        <v>1525.34</v>
      </c>
      <c r="W57" s="1">
        <v>1209.73</v>
      </c>
      <c r="X57" s="1">
        <v>1525.34</v>
      </c>
      <c r="Y57" s="1">
        <v>1609.67</v>
      </c>
      <c r="Z57" s="1">
        <v>1294.06</v>
      </c>
      <c r="AA57" s="1">
        <v>1294.06</v>
      </c>
      <c r="AB57" s="1">
        <v>816.54</v>
      </c>
      <c r="AC57" s="165">
        <f t="shared" si="15"/>
        <v>12903.93</v>
      </c>
      <c r="AD57" s="1">
        <v>442.02</v>
      </c>
      <c r="AE57" s="1">
        <v>351.12</v>
      </c>
      <c r="AF57" s="1">
        <v>721.18</v>
      </c>
      <c r="AG57" s="1">
        <v>572.88</v>
      </c>
      <c r="AH57" s="1">
        <v>721.18</v>
      </c>
      <c r="AI57" s="1">
        <v>572.88</v>
      </c>
      <c r="AJ57" s="6">
        <f t="shared" si="11"/>
        <v>16285.19</v>
      </c>
      <c r="AK57" s="1"/>
      <c r="AL57" s="1"/>
      <c r="AM57" s="1"/>
      <c r="AN57" s="1"/>
      <c r="AO57" s="6">
        <f t="shared" si="12"/>
        <v>16285.19</v>
      </c>
      <c r="AP57" s="91">
        <f t="shared" si="16"/>
        <v>15817.406849228244</v>
      </c>
      <c r="AQ57" s="10">
        <v>4551.57</v>
      </c>
      <c r="AR57" s="10">
        <v>-3734.89</v>
      </c>
      <c r="AS57" s="34"/>
      <c r="AT57" s="116">
        <f t="shared" si="17"/>
        <v>16634.086849228246</v>
      </c>
      <c r="AU57" s="116"/>
      <c r="AV57" s="116"/>
      <c r="AW57" s="116"/>
      <c r="AX57" s="116">
        <f>AT57+AU57-AV57-AW57</f>
        <v>16634.086849228246</v>
      </c>
      <c r="AY57" s="116">
        <v>4810.77</v>
      </c>
      <c r="AZ57" s="172">
        <f t="shared" si="14"/>
        <v>11823.316849228246</v>
      </c>
      <c r="BA57" s="130">
        <v>122347.36</v>
      </c>
    </row>
    <row r="58" spans="1:53" ht="12.75">
      <c r="A58" s="1">
        <v>47</v>
      </c>
      <c r="B58" s="1" t="s">
        <v>54</v>
      </c>
      <c r="C58" s="1">
        <v>461.4</v>
      </c>
      <c r="D58" s="1">
        <v>0</v>
      </c>
      <c r="E58" s="7">
        <f t="shared" si="1"/>
        <v>461.4</v>
      </c>
      <c r="F58" s="5">
        <v>2.9</v>
      </c>
      <c r="G58" s="5">
        <v>2.47</v>
      </c>
      <c r="H58" s="5">
        <f t="shared" si="2"/>
        <v>5.37</v>
      </c>
      <c r="I58" s="28">
        <f t="shared" si="3"/>
        <v>14866.307999999999</v>
      </c>
      <c r="J58" s="5">
        <f t="shared" si="4"/>
        <v>3.101611830899999</v>
      </c>
      <c r="K58" s="5">
        <f t="shared" si="5"/>
        <v>2.6417176628699996</v>
      </c>
      <c r="L58" s="27">
        <f t="shared" si="6"/>
        <v>5.743329493769998</v>
      </c>
      <c r="M58" s="61">
        <f t="shared" si="7"/>
        <v>15899.833370552864</v>
      </c>
      <c r="N58" s="34">
        <f t="shared" si="8"/>
        <v>30766.14137055286</v>
      </c>
      <c r="O58" s="34"/>
      <c r="P58" s="34"/>
      <c r="Q58" s="5">
        <f t="shared" si="9"/>
        <v>30766.14137055286</v>
      </c>
      <c r="R58" s="30">
        <f t="shared" si="10"/>
        <v>30766.14137055286</v>
      </c>
      <c r="S58" s="1">
        <v>1025.52</v>
      </c>
      <c r="T58" s="1">
        <v>1025.52</v>
      </c>
      <c r="U58" s="1">
        <v>1025.52</v>
      </c>
      <c r="V58" s="1">
        <v>1025.52</v>
      </c>
      <c r="W58" s="1">
        <v>3833.02</v>
      </c>
      <c r="X58" s="1">
        <v>1025.52</v>
      </c>
      <c r="Y58" s="1">
        <v>1085.43</v>
      </c>
      <c r="Z58" s="1">
        <v>1892.81</v>
      </c>
      <c r="AA58" s="1">
        <v>2129.95</v>
      </c>
      <c r="AB58" s="1">
        <v>529.05</v>
      </c>
      <c r="AC58" s="165">
        <f t="shared" si="15"/>
        <v>14597.86</v>
      </c>
      <c r="AD58" s="1">
        <v>0</v>
      </c>
      <c r="AE58" s="1">
        <v>1152.51</v>
      </c>
      <c r="AF58" s="1"/>
      <c r="AG58" s="1">
        <v>1085.43</v>
      </c>
      <c r="AH58" s="1">
        <v>0</v>
      </c>
      <c r="AI58" s="1">
        <v>1085.43</v>
      </c>
      <c r="AJ58" s="6">
        <f t="shared" si="11"/>
        <v>17921.23</v>
      </c>
      <c r="AK58" s="1"/>
      <c r="AL58" s="1"/>
      <c r="AM58" s="1"/>
      <c r="AN58" s="1">
        <v>1866</v>
      </c>
      <c r="AO58" s="6">
        <f t="shared" si="12"/>
        <v>19787.23</v>
      </c>
      <c r="AP58" s="91">
        <f t="shared" si="16"/>
        <v>10978.911370552862</v>
      </c>
      <c r="AQ58" s="10">
        <v>8690.65</v>
      </c>
      <c r="AR58" s="10">
        <v>1951.9</v>
      </c>
      <c r="AS58" s="34"/>
      <c r="AT58" s="116">
        <f t="shared" si="17"/>
        <v>21621.46137055286</v>
      </c>
      <c r="AU58" s="116"/>
      <c r="AV58" s="116"/>
      <c r="AW58" s="116"/>
      <c r="AX58" s="116">
        <f>AT58+AU58-AV58-AW58</f>
        <v>21621.46137055286</v>
      </c>
      <c r="AY58" s="116">
        <v>6253.18</v>
      </c>
      <c r="AZ58" s="172">
        <f t="shared" si="14"/>
        <v>15368.28137055286</v>
      </c>
      <c r="BA58" s="130">
        <v>17017.6</v>
      </c>
    </row>
    <row r="59" spans="1:53" ht="12.75" customHeight="1">
      <c r="A59" s="1">
        <v>48</v>
      </c>
      <c r="B59" s="84" t="s">
        <v>55</v>
      </c>
      <c r="C59" s="1">
        <v>2975.8</v>
      </c>
      <c r="D59" s="1">
        <v>0</v>
      </c>
      <c r="E59" s="7">
        <f t="shared" si="1"/>
        <v>2975.8</v>
      </c>
      <c r="F59" s="5">
        <v>2.9</v>
      </c>
      <c r="G59" s="5">
        <v>7.85</v>
      </c>
      <c r="H59" s="5">
        <f t="shared" si="2"/>
        <v>10.75</v>
      </c>
      <c r="I59" s="28">
        <f t="shared" si="3"/>
        <v>191939.1</v>
      </c>
      <c r="J59" s="5">
        <f t="shared" si="4"/>
        <v>3.101611830899999</v>
      </c>
      <c r="K59" s="5">
        <f t="shared" si="5"/>
        <v>8.395742369849998</v>
      </c>
      <c r="L59" s="27">
        <f t="shared" si="6"/>
        <v>11.497354200749998</v>
      </c>
      <c r="M59" s="61">
        <f t="shared" si="7"/>
        <v>205282.95978355105</v>
      </c>
      <c r="N59" s="34">
        <f t="shared" si="8"/>
        <v>397222.059783551</v>
      </c>
      <c r="O59" s="34">
        <v>97971.97</v>
      </c>
      <c r="P59" s="34"/>
      <c r="Q59" s="5">
        <f t="shared" si="9"/>
        <v>299250.08978355106</v>
      </c>
      <c r="R59" s="30">
        <f t="shared" si="10"/>
        <v>299250.08978355106</v>
      </c>
      <c r="S59" s="1">
        <v>25934.88</v>
      </c>
      <c r="T59" s="1">
        <v>42325</v>
      </c>
      <c r="U59" s="1">
        <v>17634.72</v>
      </c>
      <c r="V59" s="1">
        <v>24028.21</v>
      </c>
      <c r="W59" s="1">
        <v>30988.71</v>
      </c>
      <c r="X59" s="1">
        <v>29691.88</v>
      </c>
      <c r="Y59" s="1">
        <v>30398.91</v>
      </c>
      <c r="Z59" s="1">
        <v>27810.57</v>
      </c>
      <c r="AA59" s="1">
        <v>13576.7</v>
      </c>
      <c r="AB59" s="1">
        <v>9944.25</v>
      </c>
      <c r="AC59" s="165">
        <f t="shared" si="15"/>
        <v>252333.83000000002</v>
      </c>
      <c r="AD59" s="1">
        <v>21281.35</v>
      </c>
      <c r="AE59" s="1">
        <v>14493.86</v>
      </c>
      <c r="AF59" s="1">
        <v>10661.71</v>
      </c>
      <c r="AG59" s="1">
        <v>7138.31</v>
      </c>
      <c r="AH59" s="1">
        <v>13216.25</v>
      </c>
      <c r="AI59" s="1">
        <v>6208.37</v>
      </c>
      <c r="AJ59" s="6">
        <f t="shared" si="11"/>
        <v>325333.68</v>
      </c>
      <c r="AK59" s="1">
        <f>319+3822</f>
        <v>4141</v>
      </c>
      <c r="AL59" s="1"/>
      <c r="AM59" s="1"/>
      <c r="AN59" s="95">
        <v>23299</v>
      </c>
      <c r="AO59" s="6">
        <f t="shared" si="12"/>
        <v>352773.68</v>
      </c>
      <c r="AP59" s="136">
        <f t="shared" si="16"/>
        <v>-53523.59021644894</v>
      </c>
      <c r="AQ59" s="110"/>
      <c r="AR59" s="110"/>
      <c r="AS59" s="111"/>
      <c r="AT59" s="111">
        <f t="shared" si="17"/>
        <v>-53523.59021644894</v>
      </c>
      <c r="AU59" s="121"/>
      <c r="AV59" s="111"/>
      <c r="AW59" s="111"/>
      <c r="AX59" s="111"/>
      <c r="AY59" s="116"/>
      <c r="AZ59" s="172">
        <f t="shared" si="14"/>
        <v>0</v>
      </c>
      <c r="BA59" s="130">
        <v>82071.86</v>
      </c>
    </row>
    <row r="60" spans="1:53" ht="12.75">
      <c r="A60" s="1">
        <v>49</v>
      </c>
      <c r="B60" s="84" t="s">
        <v>56</v>
      </c>
      <c r="C60" s="1">
        <v>3398</v>
      </c>
      <c r="D60" s="1">
        <v>142.4</v>
      </c>
      <c r="E60" s="7">
        <f t="shared" si="1"/>
        <v>3540.4</v>
      </c>
      <c r="F60" s="5">
        <v>2.9</v>
      </c>
      <c r="G60" s="5">
        <v>7.85</v>
      </c>
      <c r="H60" s="5">
        <f t="shared" si="2"/>
        <v>10.75</v>
      </c>
      <c r="I60" s="28">
        <f t="shared" si="3"/>
        <v>228355.80000000002</v>
      </c>
      <c r="J60" s="5">
        <f t="shared" si="4"/>
        <v>3.101611830899999</v>
      </c>
      <c r="K60" s="5">
        <f t="shared" si="5"/>
        <v>8.395742369849998</v>
      </c>
      <c r="L60" s="27">
        <f t="shared" si="6"/>
        <v>11.497354200749998</v>
      </c>
      <c r="M60" s="61">
        <f t="shared" si="7"/>
        <v>244231.39687401176</v>
      </c>
      <c r="N60" s="34">
        <f t="shared" si="8"/>
        <v>472587.1968740118</v>
      </c>
      <c r="O60" s="34">
        <v>44.65</v>
      </c>
      <c r="P60" s="34"/>
      <c r="Q60" s="5">
        <f t="shared" si="9"/>
        <v>472542.54687401175</v>
      </c>
      <c r="R60" s="30">
        <f t="shared" si="10"/>
        <v>472542.54687401175</v>
      </c>
      <c r="S60" s="1">
        <v>26500.39</v>
      </c>
      <c r="T60" s="1">
        <v>41598.21</v>
      </c>
      <c r="U60" s="1">
        <v>30432.39</v>
      </c>
      <c r="V60" s="1">
        <v>161628.01</v>
      </c>
      <c r="W60" s="1">
        <v>118289.15</v>
      </c>
      <c r="X60" s="1">
        <v>30594.67</v>
      </c>
      <c r="Y60" s="1">
        <v>27236.69</v>
      </c>
      <c r="Z60" s="1">
        <v>19428.81</v>
      </c>
      <c r="AA60" s="1">
        <v>39228.12</v>
      </c>
      <c r="AB60" s="1">
        <v>11796.49</v>
      </c>
      <c r="AC60" s="165">
        <f t="shared" si="15"/>
        <v>506732.93</v>
      </c>
      <c r="AD60" s="1">
        <v>6244.1</v>
      </c>
      <c r="AE60" s="1">
        <v>4274.87</v>
      </c>
      <c r="AF60" s="1">
        <v>9697.37</v>
      </c>
      <c r="AG60" s="1">
        <v>11060.89</v>
      </c>
      <c r="AH60" s="1">
        <v>12510.54</v>
      </c>
      <c r="AI60" s="1">
        <v>7152.44</v>
      </c>
      <c r="AJ60" s="6">
        <f t="shared" si="11"/>
        <v>557673.14</v>
      </c>
      <c r="AK60" s="1">
        <f>3289+2229+3432+4784</f>
        <v>13734</v>
      </c>
      <c r="AL60" s="1"/>
      <c r="AM60" s="1"/>
      <c r="AN60" s="1">
        <v>2200</v>
      </c>
      <c r="AO60" s="6">
        <f t="shared" si="12"/>
        <v>573607.14</v>
      </c>
      <c r="AP60" s="136">
        <f t="shared" si="16"/>
        <v>-101064.59312598826</v>
      </c>
      <c r="AQ60" s="110"/>
      <c r="AR60" s="110"/>
      <c r="AS60" s="111"/>
      <c r="AT60" s="111">
        <f t="shared" si="17"/>
        <v>-101064.59312598826</v>
      </c>
      <c r="AU60" s="121">
        <v>2163</v>
      </c>
      <c r="AV60" s="111"/>
      <c r="AW60" s="111"/>
      <c r="AX60" s="111">
        <f>AU60-AV60</f>
        <v>2163</v>
      </c>
      <c r="AY60" s="116">
        <v>625.57</v>
      </c>
      <c r="AZ60" s="172">
        <f t="shared" si="14"/>
        <v>1537.4299999999998</v>
      </c>
      <c r="BA60" s="130">
        <v>154408.38</v>
      </c>
    </row>
    <row r="61" spans="1:53" ht="12.75" customHeight="1">
      <c r="A61" s="1">
        <v>50</v>
      </c>
      <c r="B61" s="1" t="s">
        <v>60</v>
      </c>
      <c r="C61" s="1">
        <v>777.2</v>
      </c>
      <c r="D61" s="1">
        <v>0</v>
      </c>
      <c r="E61" s="7">
        <f t="shared" si="1"/>
        <v>777.2</v>
      </c>
      <c r="F61" s="5">
        <v>2.9</v>
      </c>
      <c r="G61" s="5">
        <v>6.16</v>
      </c>
      <c r="H61" s="5">
        <f t="shared" si="2"/>
        <v>9.06</v>
      </c>
      <c r="I61" s="28">
        <f t="shared" si="3"/>
        <v>42248.592000000004</v>
      </c>
      <c r="J61" s="5">
        <f t="shared" si="4"/>
        <v>3.101611830899999</v>
      </c>
      <c r="K61" s="5">
        <f t="shared" si="5"/>
        <v>6.588251337359999</v>
      </c>
      <c r="L61" s="27">
        <f t="shared" si="6"/>
        <v>9.689863168259999</v>
      </c>
      <c r="M61" s="61">
        <f t="shared" si="7"/>
        <v>45185.76992623003</v>
      </c>
      <c r="N61" s="34">
        <f t="shared" si="8"/>
        <v>87434.36192623003</v>
      </c>
      <c r="O61" s="34">
        <v>25924.76</v>
      </c>
      <c r="P61" s="34"/>
      <c r="Q61" s="5">
        <f t="shared" si="9"/>
        <v>61509.60192623004</v>
      </c>
      <c r="R61" s="30">
        <f t="shared" si="10"/>
        <v>61509.60192623004</v>
      </c>
      <c r="S61" s="1">
        <v>3410.8</v>
      </c>
      <c r="T61" s="1">
        <v>3410.8</v>
      </c>
      <c r="U61" s="1">
        <v>3410.8</v>
      </c>
      <c r="V61" s="1">
        <v>3410.8</v>
      </c>
      <c r="W61" s="1">
        <v>3410.8</v>
      </c>
      <c r="X61" s="1">
        <v>3410.8</v>
      </c>
      <c r="Y61" s="1">
        <v>39965.34</v>
      </c>
      <c r="Z61" s="1">
        <v>5789.33</v>
      </c>
      <c r="AA61" s="1">
        <v>3636.19</v>
      </c>
      <c r="AB61" s="1">
        <v>1516.44</v>
      </c>
      <c r="AC61" s="165">
        <f t="shared" si="15"/>
        <v>71372.1</v>
      </c>
      <c r="AD61" s="1">
        <v>0</v>
      </c>
      <c r="AE61" s="1">
        <v>2119.75</v>
      </c>
      <c r="AF61" s="1"/>
      <c r="AG61" s="1">
        <v>5577.17</v>
      </c>
      <c r="AH61" s="1">
        <v>0</v>
      </c>
      <c r="AI61" s="1">
        <v>16120.94</v>
      </c>
      <c r="AJ61" s="6">
        <f t="shared" si="11"/>
        <v>95189.96</v>
      </c>
      <c r="AK61" s="1">
        <v>1503</v>
      </c>
      <c r="AL61" s="1"/>
      <c r="AM61" s="1"/>
      <c r="AN61" s="1"/>
      <c r="AO61" s="6">
        <f t="shared" si="12"/>
        <v>96692.96</v>
      </c>
      <c r="AP61" s="136">
        <f t="shared" si="16"/>
        <v>-35183.35807376997</v>
      </c>
      <c r="AQ61" s="110"/>
      <c r="AR61" s="110"/>
      <c r="AS61" s="111"/>
      <c r="AT61" s="111">
        <f t="shared" si="17"/>
        <v>-35183.35807376997</v>
      </c>
      <c r="AU61" s="121"/>
      <c r="AV61" s="111"/>
      <c r="AW61" s="111"/>
      <c r="AX61" s="111"/>
      <c r="AY61" s="116"/>
      <c r="AZ61" s="172">
        <f t="shared" si="14"/>
        <v>0</v>
      </c>
      <c r="BA61" s="130">
        <v>71741.17</v>
      </c>
    </row>
    <row r="62" spans="1:53" ht="12.75">
      <c r="A62" s="1">
        <v>51</v>
      </c>
      <c r="B62" s="1" t="s">
        <v>63</v>
      </c>
      <c r="C62" s="1">
        <v>4392.14</v>
      </c>
      <c r="D62" s="1">
        <v>181.9</v>
      </c>
      <c r="E62" s="7">
        <f t="shared" si="1"/>
        <v>4574.04</v>
      </c>
      <c r="F62" s="5">
        <v>2.9</v>
      </c>
      <c r="G62" s="5">
        <v>7.46</v>
      </c>
      <c r="H62" s="5">
        <f t="shared" si="2"/>
        <v>10.36</v>
      </c>
      <c r="I62" s="28">
        <f t="shared" si="3"/>
        <v>284322.32639999996</v>
      </c>
      <c r="J62" s="5">
        <f t="shared" si="4"/>
        <v>3.101611830899999</v>
      </c>
      <c r="K62" s="5">
        <f t="shared" si="5"/>
        <v>7.978629054659999</v>
      </c>
      <c r="L62" s="27">
        <f t="shared" si="6"/>
        <v>11.080240885559999</v>
      </c>
      <c r="M62" s="61">
        <f t="shared" si="7"/>
        <v>304088.79012112116</v>
      </c>
      <c r="N62" s="34">
        <f t="shared" si="8"/>
        <v>588411.1165211211</v>
      </c>
      <c r="O62" s="34"/>
      <c r="P62" s="34"/>
      <c r="Q62" s="5">
        <f t="shared" si="9"/>
        <v>588411.1165211211</v>
      </c>
      <c r="R62" s="30">
        <f t="shared" si="10"/>
        <v>588411.1165211211</v>
      </c>
      <c r="S62" s="1">
        <v>24131.56</v>
      </c>
      <c r="T62" s="1">
        <v>21810.51</v>
      </c>
      <c r="U62" s="1">
        <v>84363.73</v>
      </c>
      <c r="V62" s="1">
        <v>20271.76</v>
      </c>
      <c r="W62" s="1">
        <v>79241.37</v>
      </c>
      <c r="X62" s="1">
        <v>22836.84</v>
      </c>
      <c r="Y62" s="1">
        <v>23844.64</v>
      </c>
      <c r="Z62" s="1">
        <v>87988.53</v>
      </c>
      <c r="AA62" s="1">
        <v>30125.65</v>
      </c>
      <c r="AB62" s="1">
        <v>8657.33</v>
      </c>
      <c r="AC62" s="165">
        <f t="shared" si="15"/>
        <v>403271.92</v>
      </c>
      <c r="AD62" s="1">
        <v>0</v>
      </c>
      <c r="AE62" s="1">
        <v>12850.57</v>
      </c>
      <c r="AF62" s="1"/>
      <c r="AG62" s="1">
        <v>220991.43</v>
      </c>
      <c r="AH62" s="1">
        <v>0</v>
      </c>
      <c r="AI62" s="1">
        <v>277737.14</v>
      </c>
      <c r="AJ62" s="6">
        <f t="shared" si="11"/>
        <v>914851.0599999999</v>
      </c>
      <c r="AK62" s="1"/>
      <c r="AL62" s="1">
        <f>4262+3356+2756</f>
        <v>10374</v>
      </c>
      <c r="AM62" s="1"/>
      <c r="AN62" s="1"/>
      <c r="AO62" s="6">
        <f t="shared" si="12"/>
        <v>925225.0599999999</v>
      </c>
      <c r="AP62" s="136">
        <f t="shared" si="16"/>
        <v>-336813.9434788788</v>
      </c>
      <c r="AQ62" s="110">
        <v>14958.58</v>
      </c>
      <c r="AR62" s="110">
        <v>37744.96</v>
      </c>
      <c r="AS62" s="111"/>
      <c r="AT62" s="111">
        <f t="shared" si="17"/>
        <v>-284110.4034788788</v>
      </c>
      <c r="AU62" s="121">
        <v>2231</v>
      </c>
      <c r="AV62" s="111"/>
      <c r="AW62" s="111">
        <v>137</v>
      </c>
      <c r="AX62" s="111">
        <f>AU62-AV62-AW62</f>
        <v>2094</v>
      </c>
      <c r="AY62" s="116">
        <v>605.61</v>
      </c>
      <c r="AZ62" s="172">
        <f t="shared" si="14"/>
        <v>1488.3899999999999</v>
      </c>
      <c r="BA62" s="130">
        <v>312009.74</v>
      </c>
    </row>
    <row r="63" spans="1:54" ht="12.75">
      <c r="A63" s="1">
        <v>52</v>
      </c>
      <c r="B63" s="1" t="s">
        <v>64</v>
      </c>
      <c r="C63" s="1">
        <v>2045.7</v>
      </c>
      <c r="D63" s="1">
        <v>0</v>
      </c>
      <c r="E63" s="7">
        <f aca="true" t="shared" si="18" ref="E63:E121">C63+D63</f>
        <v>2045.7</v>
      </c>
      <c r="F63" s="5">
        <v>2.9</v>
      </c>
      <c r="G63" s="5">
        <v>7.09</v>
      </c>
      <c r="H63" s="5">
        <f t="shared" si="2"/>
        <v>9.99</v>
      </c>
      <c r="I63" s="28">
        <f t="shared" si="3"/>
        <v>122619.258</v>
      </c>
      <c r="J63" s="5">
        <f t="shared" si="4"/>
        <v>3.101611830899999</v>
      </c>
      <c r="K63" s="5">
        <f t="shared" si="5"/>
        <v>7.582906165889998</v>
      </c>
      <c r="L63" s="27">
        <f t="shared" si="6"/>
        <v>10.684517996789998</v>
      </c>
      <c r="M63" s="61">
        <f t="shared" si="7"/>
        <v>131143.9107961998</v>
      </c>
      <c r="N63" s="34">
        <f t="shared" si="8"/>
        <v>253763.1687961998</v>
      </c>
      <c r="O63" s="34"/>
      <c r="P63" s="34"/>
      <c r="Q63" s="5">
        <f t="shared" si="9"/>
        <v>253763.1687961998</v>
      </c>
      <c r="R63" s="30">
        <f t="shared" si="10"/>
        <v>253763.1687961998</v>
      </c>
      <c r="S63" s="1">
        <v>12996.65</v>
      </c>
      <c r="T63" s="1">
        <v>9109.56</v>
      </c>
      <c r="U63" s="1">
        <v>11023.69</v>
      </c>
      <c r="V63" s="1">
        <v>9109.56</v>
      </c>
      <c r="W63" s="1">
        <v>9109.56</v>
      </c>
      <c r="X63" s="1">
        <v>11934.1</v>
      </c>
      <c r="Y63" s="1">
        <v>28338.99</v>
      </c>
      <c r="Z63" s="1">
        <v>13770.28</v>
      </c>
      <c r="AA63" s="1">
        <v>9781</v>
      </c>
      <c r="AB63" s="1">
        <v>4105.53</v>
      </c>
      <c r="AC63" s="165">
        <f t="shared" si="15"/>
        <v>119278.92</v>
      </c>
      <c r="AD63" s="1">
        <v>0</v>
      </c>
      <c r="AE63" s="1">
        <v>6889.98</v>
      </c>
      <c r="AF63" s="1"/>
      <c r="AG63" s="1">
        <v>20306.43</v>
      </c>
      <c r="AH63" s="1">
        <v>0</v>
      </c>
      <c r="AI63" s="1">
        <v>161393.92</v>
      </c>
      <c r="AJ63" s="6">
        <f t="shared" si="11"/>
        <v>307869.25</v>
      </c>
      <c r="AK63" s="1"/>
      <c r="AL63" s="1"/>
      <c r="AM63" s="1"/>
      <c r="AN63" s="1"/>
      <c r="AO63" s="6">
        <f t="shared" si="12"/>
        <v>307869.25</v>
      </c>
      <c r="AP63" s="136">
        <f t="shared" si="16"/>
        <v>-54106.08120380019</v>
      </c>
      <c r="AQ63" s="110">
        <v>12769.44</v>
      </c>
      <c r="AR63" s="110">
        <v>-15108.41</v>
      </c>
      <c r="AS63" s="111"/>
      <c r="AT63" s="111">
        <f t="shared" si="17"/>
        <v>-56445.05120380019</v>
      </c>
      <c r="AU63" s="121">
        <v>2708</v>
      </c>
      <c r="AV63" s="111"/>
      <c r="AW63" s="111"/>
      <c r="AX63" s="111">
        <f>AU63-AV63</f>
        <v>2708</v>
      </c>
      <c r="AY63" s="116">
        <v>783.19</v>
      </c>
      <c r="AZ63" s="172">
        <f t="shared" si="14"/>
        <v>1924.81</v>
      </c>
      <c r="BA63" s="130">
        <v>140944.54</v>
      </c>
      <c r="BB63" s="94"/>
    </row>
    <row r="64" spans="1:53" ht="12.75" customHeight="1">
      <c r="A64" s="1">
        <v>53</v>
      </c>
      <c r="B64" s="1" t="s">
        <v>65</v>
      </c>
      <c r="C64" s="1">
        <v>2142.2</v>
      </c>
      <c r="D64" s="1">
        <v>139.9</v>
      </c>
      <c r="E64" s="7">
        <f t="shared" si="18"/>
        <v>2282.1</v>
      </c>
      <c r="F64" s="5">
        <v>2.9</v>
      </c>
      <c r="G64" s="5">
        <v>7.26</v>
      </c>
      <c r="H64" s="5">
        <f t="shared" si="2"/>
        <v>10.16</v>
      </c>
      <c r="I64" s="28">
        <f t="shared" si="3"/>
        <v>139116.816</v>
      </c>
      <c r="J64" s="5">
        <f t="shared" si="4"/>
        <v>3.101611830899999</v>
      </c>
      <c r="K64" s="5">
        <f t="shared" si="5"/>
        <v>7.764724790459999</v>
      </c>
      <c r="L64" s="27">
        <f t="shared" si="6"/>
        <v>10.866336621359999</v>
      </c>
      <c r="M64" s="61">
        <f t="shared" si="7"/>
        <v>148788.40082163393</v>
      </c>
      <c r="N64" s="34">
        <f t="shared" si="8"/>
        <v>287905.2168216339</v>
      </c>
      <c r="O64" s="34">
        <v>20065.68</v>
      </c>
      <c r="P64" s="34">
        <v>64969.11</v>
      </c>
      <c r="Q64" s="5">
        <f t="shared" si="9"/>
        <v>267839.5368216339</v>
      </c>
      <c r="R64" s="30">
        <f t="shared" si="10"/>
        <v>332808.6468216339</v>
      </c>
      <c r="S64" s="1">
        <v>11771.62</v>
      </c>
      <c r="T64" s="1">
        <v>12385.63</v>
      </c>
      <c r="U64" s="1">
        <v>11408.95</v>
      </c>
      <c r="V64" s="1">
        <v>9675.76</v>
      </c>
      <c r="W64" s="1">
        <v>82901.59</v>
      </c>
      <c r="X64" s="1">
        <v>45093.79</v>
      </c>
      <c r="Y64" s="1">
        <v>132790.97</v>
      </c>
      <c r="Z64" s="1">
        <v>24076.95</v>
      </c>
      <c r="AA64" s="1">
        <v>13050.33</v>
      </c>
      <c r="AB64" s="1">
        <v>4516.71</v>
      </c>
      <c r="AC64" s="165">
        <f t="shared" si="15"/>
        <v>347672.30000000005</v>
      </c>
      <c r="AD64" s="1">
        <v>0</v>
      </c>
      <c r="AE64" s="1">
        <v>8018.22</v>
      </c>
      <c r="AF64" s="1"/>
      <c r="AG64" s="1">
        <v>11642.06</v>
      </c>
      <c r="AH64" s="1">
        <v>0</v>
      </c>
      <c r="AI64" s="1">
        <v>11250.39</v>
      </c>
      <c r="AJ64" s="6">
        <f t="shared" si="11"/>
        <v>378582.97000000003</v>
      </c>
      <c r="AK64" s="1"/>
      <c r="AL64" s="1"/>
      <c r="AM64" s="1"/>
      <c r="AN64" s="1"/>
      <c r="AO64" s="6">
        <f t="shared" si="12"/>
        <v>378582.97000000003</v>
      </c>
      <c r="AP64" s="136">
        <f t="shared" si="16"/>
        <v>-45774.32317836612</v>
      </c>
      <c r="AQ64" s="110"/>
      <c r="AR64" s="110"/>
      <c r="AS64" s="111"/>
      <c r="AT64" s="111">
        <f t="shared" si="17"/>
        <v>-45774.32317836612</v>
      </c>
      <c r="AU64" s="121"/>
      <c r="AV64" s="111"/>
      <c r="AW64" s="111"/>
      <c r="AX64" s="111"/>
      <c r="AY64" s="116"/>
      <c r="AZ64" s="172">
        <f t="shared" si="14"/>
        <v>0</v>
      </c>
      <c r="BA64" s="130">
        <v>117259.7</v>
      </c>
    </row>
    <row r="65" spans="1:53" ht="12.75" customHeight="1">
      <c r="A65" s="1">
        <v>54</v>
      </c>
      <c r="B65" s="84" t="s">
        <v>66</v>
      </c>
      <c r="C65" s="1">
        <v>1290</v>
      </c>
      <c r="D65" s="1">
        <v>0</v>
      </c>
      <c r="E65" s="7">
        <f t="shared" si="18"/>
        <v>1290</v>
      </c>
      <c r="F65" s="5">
        <v>2.9</v>
      </c>
      <c r="G65" s="5">
        <v>7.46</v>
      </c>
      <c r="H65" s="5">
        <f t="shared" si="2"/>
        <v>10.36</v>
      </c>
      <c r="I65" s="28">
        <f t="shared" si="3"/>
        <v>80186.4</v>
      </c>
      <c r="J65" s="5">
        <f t="shared" si="4"/>
        <v>3.101611830899999</v>
      </c>
      <c r="K65" s="5">
        <f t="shared" si="5"/>
        <v>7.978629054659999</v>
      </c>
      <c r="L65" s="27">
        <f t="shared" si="6"/>
        <v>11.080240885559999</v>
      </c>
      <c r="M65" s="61">
        <f t="shared" si="7"/>
        <v>85761.0644542344</v>
      </c>
      <c r="N65" s="34">
        <f t="shared" si="8"/>
        <v>165947.4644542344</v>
      </c>
      <c r="O65" s="34"/>
      <c r="P65" s="34"/>
      <c r="Q65" s="5">
        <f t="shared" si="9"/>
        <v>165947.4644542344</v>
      </c>
      <c r="R65" s="30">
        <f t="shared" si="10"/>
        <v>165947.4644542344</v>
      </c>
      <c r="S65" s="1">
        <v>8612.99</v>
      </c>
      <c r="T65" s="1">
        <v>10261.45</v>
      </c>
      <c r="U65" s="1">
        <v>6848.11</v>
      </c>
      <c r="V65" s="1">
        <v>9490.72</v>
      </c>
      <c r="W65" s="1">
        <v>5968.34</v>
      </c>
      <c r="X65" s="1">
        <v>8446.37</v>
      </c>
      <c r="Y65" s="1">
        <v>8358.71</v>
      </c>
      <c r="Z65" s="1">
        <v>20794.05</v>
      </c>
      <c r="AA65" s="1">
        <v>26706.41</v>
      </c>
      <c r="AB65" s="1">
        <v>5203.37</v>
      </c>
      <c r="AC65" s="165">
        <f t="shared" si="15"/>
        <v>110690.52</v>
      </c>
      <c r="AD65" s="1">
        <v>17486.83</v>
      </c>
      <c r="AE65" s="1">
        <v>1556.85</v>
      </c>
      <c r="AF65" s="1">
        <v>6360.95</v>
      </c>
      <c r="AG65" s="1">
        <v>3144.56</v>
      </c>
      <c r="AH65" s="1">
        <v>20854.05</v>
      </c>
      <c r="AI65" s="1">
        <v>5740.68</v>
      </c>
      <c r="AJ65" s="6">
        <f t="shared" si="11"/>
        <v>165834.44</v>
      </c>
      <c r="AK65" s="1"/>
      <c r="AL65" s="1"/>
      <c r="AM65" s="1"/>
      <c r="AN65" s="1"/>
      <c r="AO65" s="6">
        <f t="shared" si="12"/>
        <v>165834.44</v>
      </c>
      <c r="AP65" s="136">
        <f t="shared" si="16"/>
        <v>113.02445423440076</v>
      </c>
      <c r="AQ65" s="110"/>
      <c r="AR65" s="110">
        <v>-59489.57</v>
      </c>
      <c r="AS65" s="111"/>
      <c r="AT65" s="121">
        <f t="shared" si="17"/>
        <v>-59376.5455457656</v>
      </c>
      <c r="AU65" s="121"/>
      <c r="AV65" s="121"/>
      <c r="AW65" s="121"/>
      <c r="AX65" s="121"/>
      <c r="AY65" s="116"/>
      <c r="AZ65" s="172">
        <f t="shared" si="14"/>
        <v>0</v>
      </c>
      <c r="BA65" s="130">
        <v>39844.22</v>
      </c>
    </row>
    <row r="66" spans="1:53" ht="12.75">
      <c r="A66" s="1">
        <v>55</v>
      </c>
      <c r="B66" s="1" t="s">
        <v>67</v>
      </c>
      <c r="C66" s="1">
        <v>2006.8</v>
      </c>
      <c r="D66" s="1">
        <v>0</v>
      </c>
      <c r="E66" s="7">
        <f t="shared" si="18"/>
        <v>2006.8</v>
      </c>
      <c r="F66" s="5">
        <v>2.9</v>
      </c>
      <c r="G66" s="5">
        <v>7.09</v>
      </c>
      <c r="H66" s="5">
        <f t="shared" si="2"/>
        <v>9.99</v>
      </c>
      <c r="I66" s="28">
        <f t="shared" si="3"/>
        <v>120287.592</v>
      </c>
      <c r="J66" s="5">
        <f t="shared" si="4"/>
        <v>3.101611830899999</v>
      </c>
      <c r="K66" s="5">
        <f t="shared" si="5"/>
        <v>7.582906165889998</v>
      </c>
      <c r="L66" s="27">
        <f t="shared" si="6"/>
        <v>10.684517996789998</v>
      </c>
      <c r="M66" s="61">
        <f t="shared" si="7"/>
        <v>128650.144295749</v>
      </c>
      <c r="N66" s="34">
        <f t="shared" si="8"/>
        <v>248937.73629574903</v>
      </c>
      <c r="O66" s="34"/>
      <c r="P66" s="34"/>
      <c r="Q66" s="5">
        <f t="shared" si="9"/>
        <v>248937.73629574903</v>
      </c>
      <c r="R66" s="30">
        <f t="shared" si="10"/>
        <v>248937.73629574903</v>
      </c>
      <c r="S66" s="1">
        <v>9923.23</v>
      </c>
      <c r="T66" s="1">
        <v>9379.77</v>
      </c>
      <c r="U66" s="1">
        <v>15320.39</v>
      </c>
      <c r="V66" s="1">
        <v>13354.66</v>
      </c>
      <c r="W66" s="1">
        <v>9760.52</v>
      </c>
      <c r="X66" s="1">
        <v>11717.44</v>
      </c>
      <c r="Y66" s="1">
        <v>10428.6</v>
      </c>
      <c r="Z66" s="1">
        <v>14729.69</v>
      </c>
      <c r="AA66" s="1">
        <v>9606.56</v>
      </c>
      <c r="AB66" s="1">
        <v>4562.21</v>
      </c>
      <c r="AC66" s="165">
        <f t="shared" si="15"/>
        <v>108783.07000000002</v>
      </c>
      <c r="AD66" s="1">
        <v>0</v>
      </c>
      <c r="AE66" s="1">
        <v>6897.13</v>
      </c>
      <c r="AF66" s="1"/>
      <c r="AG66" s="1">
        <v>20138.07</v>
      </c>
      <c r="AH66" s="1">
        <v>0</v>
      </c>
      <c r="AI66" s="1">
        <v>41305.8</v>
      </c>
      <c r="AJ66" s="6">
        <f t="shared" si="11"/>
        <v>177124.07</v>
      </c>
      <c r="AK66" s="1"/>
      <c r="AL66" s="1"/>
      <c r="AM66" s="1"/>
      <c r="AN66" s="1"/>
      <c r="AO66" s="6">
        <f t="shared" si="12"/>
        <v>177124.07</v>
      </c>
      <c r="AP66" s="91">
        <f t="shared" si="16"/>
        <v>71813.66629574902</v>
      </c>
      <c r="AQ66" s="10">
        <v>4250.66</v>
      </c>
      <c r="AR66" s="10">
        <v>13527.22</v>
      </c>
      <c r="AS66" s="34"/>
      <c r="AT66" s="116">
        <f t="shared" si="17"/>
        <v>89591.54629574902</v>
      </c>
      <c r="AU66" s="116"/>
      <c r="AV66" s="116"/>
      <c r="AW66" s="116">
        <f>2620+2124+2067</f>
        <v>6811</v>
      </c>
      <c r="AX66" s="146">
        <f>AT66+AU66-AV66-AW66</f>
        <v>82780.54629574902</v>
      </c>
      <c r="AY66" s="116">
        <v>23941.11</v>
      </c>
      <c r="AZ66" s="172">
        <f t="shared" si="14"/>
        <v>58839.43629574902</v>
      </c>
      <c r="BA66" s="130">
        <v>83660.64</v>
      </c>
    </row>
    <row r="67" spans="1:53" ht="12.75">
      <c r="A67" s="1">
        <v>56</v>
      </c>
      <c r="B67" s="1" t="s">
        <v>68</v>
      </c>
      <c r="C67" s="1">
        <v>1152.3</v>
      </c>
      <c r="D67" s="1">
        <v>119.5</v>
      </c>
      <c r="E67" s="7">
        <f t="shared" si="18"/>
        <v>1271.8</v>
      </c>
      <c r="F67" s="5">
        <v>2.9</v>
      </c>
      <c r="G67" s="5">
        <v>7.09</v>
      </c>
      <c r="H67" s="5">
        <f t="shared" si="2"/>
        <v>9.99</v>
      </c>
      <c r="I67" s="28">
        <f t="shared" si="3"/>
        <v>76231.692</v>
      </c>
      <c r="J67" s="5">
        <f t="shared" si="4"/>
        <v>3.101611830899999</v>
      </c>
      <c r="K67" s="5">
        <f t="shared" si="5"/>
        <v>7.582906165889998</v>
      </c>
      <c r="L67" s="27">
        <f t="shared" si="6"/>
        <v>10.684517996789998</v>
      </c>
      <c r="M67" s="61">
        <f t="shared" si="7"/>
        <v>81531.41992990511</v>
      </c>
      <c r="N67" s="34">
        <f t="shared" si="8"/>
        <v>157763.1119299051</v>
      </c>
      <c r="O67" s="34"/>
      <c r="P67" s="34"/>
      <c r="Q67" s="5">
        <f t="shared" si="9"/>
        <v>157763.1119299051</v>
      </c>
      <c r="R67" s="30">
        <f t="shared" si="10"/>
        <v>157763.1119299051</v>
      </c>
      <c r="S67" s="1">
        <v>5459.19</v>
      </c>
      <c r="T67" s="1">
        <v>13486.69</v>
      </c>
      <c r="U67" s="1">
        <v>13553.23</v>
      </c>
      <c r="V67" s="1">
        <v>5918.19</v>
      </c>
      <c r="W67" s="1">
        <v>5885.98</v>
      </c>
      <c r="X67" s="1">
        <v>7697.72</v>
      </c>
      <c r="Y67" s="1">
        <v>7642.67</v>
      </c>
      <c r="Z67" s="1">
        <v>23485.6</v>
      </c>
      <c r="AA67" s="1">
        <v>6901.66</v>
      </c>
      <c r="AB67" s="1">
        <v>2888.85</v>
      </c>
      <c r="AC67" s="165">
        <f t="shared" si="15"/>
        <v>92919.78</v>
      </c>
      <c r="AD67" s="1">
        <v>0</v>
      </c>
      <c r="AE67" s="1">
        <v>4520.81</v>
      </c>
      <c r="AF67" s="1"/>
      <c r="AG67" s="1">
        <v>14601.7</v>
      </c>
      <c r="AH67" s="1">
        <v>0</v>
      </c>
      <c r="AI67" s="1">
        <v>11607.89</v>
      </c>
      <c r="AJ67" s="6">
        <f t="shared" si="11"/>
        <v>123650.18</v>
      </c>
      <c r="AK67" s="1"/>
      <c r="AL67" s="1"/>
      <c r="AM67" s="1"/>
      <c r="AN67" s="1"/>
      <c r="AO67" s="6">
        <f t="shared" si="12"/>
        <v>123650.18</v>
      </c>
      <c r="AP67" s="91">
        <f t="shared" si="16"/>
        <v>34112.93192990511</v>
      </c>
      <c r="AQ67" s="10">
        <v>1936.3</v>
      </c>
      <c r="AR67" s="10">
        <v>4494.17</v>
      </c>
      <c r="AS67" s="34"/>
      <c r="AT67" s="116">
        <f t="shared" si="17"/>
        <v>40543.401929905114</v>
      </c>
      <c r="AU67" s="116">
        <v>2231</v>
      </c>
      <c r="AV67" s="116">
        <v>450</v>
      </c>
      <c r="AW67" s="116"/>
      <c r="AX67" s="146">
        <f>AT67+AU67-AV67-AW67</f>
        <v>42324.401929905114</v>
      </c>
      <c r="AY67" s="116">
        <v>12370.86</v>
      </c>
      <c r="AZ67" s="172">
        <f t="shared" si="14"/>
        <v>29953.541929905114</v>
      </c>
      <c r="BA67" s="130">
        <v>128957.21</v>
      </c>
    </row>
    <row r="68" spans="1:53" ht="12.75">
      <c r="A68" s="1">
        <v>57</v>
      </c>
      <c r="B68" s="84" t="s">
        <v>69</v>
      </c>
      <c r="C68" s="1">
        <v>2487.9</v>
      </c>
      <c r="D68" s="1">
        <v>0</v>
      </c>
      <c r="E68" s="7">
        <f t="shared" si="18"/>
        <v>2487.9</v>
      </c>
      <c r="F68" s="5">
        <v>2.9</v>
      </c>
      <c r="G68" s="5">
        <v>7.85</v>
      </c>
      <c r="H68" s="5">
        <f t="shared" si="2"/>
        <v>10.75</v>
      </c>
      <c r="I68" s="28">
        <f t="shared" si="3"/>
        <v>160469.55</v>
      </c>
      <c r="J68" s="5">
        <f t="shared" si="4"/>
        <v>3.101611830899999</v>
      </c>
      <c r="K68" s="5">
        <f t="shared" si="5"/>
        <v>8.395742369849998</v>
      </c>
      <c r="L68" s="27">
        <f t="shared" si="6"/>
        <v>11.497354200749998</v>
      </c>
      <c r="M68" s="61">
        <f t="shared" si="7"/>
        <v>171625.6050962755</v>
      </c>
      <c r="N68" s="34">
        <f t="shared" si="8"/>
        <v>332095.1550962755</v>
      </c>
      <c r="O68" s="34">
        <v>154835.94</v>
      </c>
      <c r="P68" s="34"/>
      <c r="Q68" s="5">
        <f t="shared" si="9"/>
        <v>177259.2150962755</v>
      </c>
      <c r="R68" s="30">
        <f t="shared" si="10"/>
        <v>177259.2150962755</v>
      </c>
      <c r="S68" s="1">
        <v>16454.45</v>
      </c>
      <c r="T68" s="1">
        <v>14799.67</v>
      </c>
      <c r="U68" s="1">
        <v>16558.85</v>
      </c>
      <c r="V68" s="1">
        <v>14068.18</v>
      </c>
      <c r="W68" s="1">
        <v>20165.48</v>
      </c>
      <c r="X68" s="1">
        <v>29612.48</v>
      </c>
      <c r="Y68" s="1">
        <v>22722.92</v>
      </c>
      <c r="Z68" s="1">
        <v>79620.29</v>
      </c>
      <c r="AA68" s="1">
        <v>19093</v>
      </c>
      <c r="AB68" s="1">
        <v>10095.39</v>
      </c>
      <c r="AC68" s="165">
        <f t="shared" si="15"/>
        <v>243190.71000000002</v>
      </c>
      <c r="AD68" s="1">
        <v>5937.01</v>
      </c>
      <c r="AE68" s="1">
        <v>4394.88</v>
      </c>
      <c r="AF68" s="1">
        <v>12835.54</v>
      </c>
      <c r="AG68" s="1">
        <v>9102.47</v>
      </c>
      <c r="AH68" s="1">
        <v>13823.31</v>
      </c>
      <c r="AI68" s="1">
        <v>8973.08</v>
      </c>
      <c r="AJ68" s="6">
        <f t="shared" si="11"/>
        <v>298257</v>
      </c>
      <c r="AK68" s="1"/>
      <c r="AL68" s="1"/>
      <c r="AM68" s="1"/>
      <c r="AN68" s="95">
        <v>59748</v>
      </c>
      <c r="AO68" s="6">
        <f t="shared" si="12"/>
        <v>358005</v>
      </c>
      <c r="AP68" s="136">
        <f t="shared" si="16"/>
        <v>-180745.7849037245</v>
      </c>
      <c r="AQ68" s="110"/>
      <c r="AR68" s="110"/>
      <c r="AS68" s="111"/>
      <c r="AT68" s="111">
        <f t="shared" si="17"/>
        <v>-180745.7849037245</v>
      </c>
      <c r="AU68" s="121">
        <v>1497</v>
      </c>
      <c r="AV68" s="111"/>
      <c r="AW68" s="111"/>
      <c r="AX68" s="111">
        <f>AU68-AV68</f>
        <v>1497</v>
      </c>
      <c r="AY68" s="116">
        <v>432.95</v>
      </c>
      <c r="AZ68" s="172">
        <f t="shared" si="14"/>
        <v>1064.05</v>
      </c>
      <c r="BA68" s="130">
        <v>178373.93</v>
      </c>
    </row>
    <row r="69" spans="1:53" ht="12.75" customHeight="1">
      <c r="A69" s="1">
        <v>58</v>
      </c>
      <c r="B69" s="1" t="s">
        <v>70</v>
      </c>
      <c r="C69" s="1">
        <v>391.7</v>
      </c>
      <c r="D69" s="1">
        <v>0</v>
      </c>
      <c r="E69" s="7">
        <f t="shared" si="18"/>
        <v>391.7</v>
      </c>
      <c r="F69" s="5">
        <v>2.9</v>
      </c>
      <c r="G69" s="5">
        <v>6.16</v>
      </c>
      <c r="H69" s="5">
        <f t="shared" si="2"/>
        <v>9.06</v>
      </c>
      <c r="I69" s="28">
        <f t="shared" si="3"/>
        <v>21292.812</v>
      </c>
      <c r="J69" s="5">
        <f t="shared" si="4"/>
        <v>3.101611830899999</v>
      </c>
      <c r="K69" s="5">
        <f t="shared" si="5"/>
        <v>6.588251337359999</v>
      </c>
      <c r="L69" s="27">
        <f t="shared" si="6"/>
        <v>9.689863168259999</v>
      </c>
      <c r="M69" s="61">
        <f t="shared" si="7"/>
        <v>22773.116418044647</v>
      </c>
      <c r="N69" s="34">
        <f t="shared" si="8"/>
        <v>44065.92841804465</v>
      </c>
      <c r="O69" s="34">
        <v>3527.16</v>
      </c>
      <c r="P69" s="34">
        <v>8653.07</v>
      </c>
      <c r="Q69" s="5">
        <f t="shared" si="9"/>
        <v>40538.76841804465</v>
      </c>
      <c r="R69" s="30">
        <f t="shared" si="10"/>
        <v>49191.83841804465</v>
      </c>
      <c r="S69" s="1">
        <v>15609.09</v>
      </c>
      <c r="T69" s="1">
        <v>1795.7</v>
      </c>
      <c r="U69" s="1">
        <v>3618.16</v>
      </c>
      <c r="V69" s="1">
        <v>1629.47</v>
      </c>
      <c r="W69" s="1">
        <v>1629.47</v>
      </c>
      <c r="X69" s="1">
        <v>1629.47</v>
      </c>
      <c r="Y69" s="1">
        <v>2256.27</v>
      </c>
      <c r="Z69" s="1">
        <v>1743.07</v>
      </c>
      <c r="AA69" s="1">
        <v>1743.07</v>
      </c>
      <c r="AB69" s="1">
        <v>674.73</v>
      </c>
      <c r="AC69" s="165">
        <f t="shared" si="15"/>
        <v>32328.500000000004</v>
      </c>
      <c r="AD69" s="1">
        <v>0</v>
      </c>
      <c r="AE69" s="1">
        <v>1068.33</v>
      </c>
      <c r="AF69" s="1"/>
      <c r="AG69" s="1">
        <v>1743.07</v>
      </c>
      <c r="AH69" s="1">
        <v>0</v>
      </c>
      <c r="AI69" s="1">
        <v>20630.91</v>
      </c>
      <c r="AJ69" s="6">
        <f t="shared" si="11"/>
        <v>55770.81</v>
      </c>
      <c r="AK69" s="1"/>
      <c r="AL69" s="1"/>
      <c r="AM69" s="1"/>
      <c r="AN69" s="1"/>
      <c r="AO69" s="6">
        <f t="shared" si="12"/>
        <v>55770.81</v>
      </c>
      <c r="AP69" s="136">
        <f t="shared" si="16"/>
        <v>-6578.971581955346</v>
      </c>
      <c r="AQ69" s="110"/>
      <c r="AR69" s="110"/>
      <c r="AS69" s="111"/>
      <c r="AT69" s="111">
        <f t="shared" si="17"/>
        <v>-6578.971581955346</v>
      </c>
      <c r="AU69" s="121"/>
      <c r="AV69" s="111"/>
      <c r="AW69" s="111"/>
      <c r="AX69" s="111"/>
      <c r="AY69" s="116"/>
      <c r="AZ69" s="172">
        <f t="shared" si="14"/>
        <v>0</v>
      </c>
      <c r="BA69" s="130">
        <v>174071.02</v>
      </c>
    </row>
    <row r="70" spans="1:53" ht="12.75" customHeight="1">
      <c r="A70" s="1">
        <v>59</v>
      </c>
      <c r="B70" s="1" t="s">
        <v>71</v>
      </c>
      <c r="C70" s="1">
        <v>600.9</v>
      </c>
      <c r="D70" s="1">
        <v>0</v>
      </c>
      <c r="E70" s="7">
        <f t="shared" si="18"/>
        <v>600.9</v>
      </c>
      <c r="F70" s="5">
        <v>2.9</v>
      </c>
      <c r="G70" s="5">
        <v>6.16</v>
      </c>
      <c r="H70" s="5">
        <f t="shared" si="2"/>
        <v>9.06</v>
      </c>
      <c r="I70" s="28">
        <f t="shared" si="3"/>
        <v>32664.924000000003</v>
      </c>
      <c r="J70" s="5">
        <f t="shared" si="4"/>
        <v>3.101611830899999</v>
      </c>
      <c r="K70" s="5">
        <f t="shared" si="5"/>
        <v>6.588251337359999</v>
      </c>
      <c r="L70" s="27">
        <f t="shared" si="6"/>
        <v>9.689863168259999</v>
      </c>
      <c r="M70" s="61">
        <f t="shared" si="7"/>
        <v>34935.832666844595</v>
      </c>
      <c r="N70" s="34">
        <f t="shared" si="8"/>
        <v>67600.7566668446</v>
      </c>
      <c r="O70" s="34">
        <v>44318.32</v>
      </c>
      <c r="P70" s="34"/>
      <c r="Q70" s="5">
        <f t="shared" si="9"/>
        <v>23282.436666844595</v>
      </c>
      <c r="R70" s="30">
        <f t="shared" si="10"/>
        <v>23282.436666844595</v>
      </c>
      <c r="S70" s="1">
        <v>1105.66</v>
      </c>
      <c r="T70" s="1">
        <v>1271.89</v>
      </c>
      <c r="U70" s="1">
        <v>1575.19</v>
      </c>
      <c r="V70" s="1">
        <v>1105.66</v>
      </c>
      <c r="W70" s="1">
        <v>5961.15</v>
      </c>
      <c r="X70" s="1">
        <v>1105.66</v>
      </c>
      <c r="Y70" s="1">
        <v>1183.77</v>
      </c>
      <c r="Z70" s="1">
        <v>1183.77</v>
      </c>
      <c r="AA70" s="1">
        <v>2750.79</v>
      </c>
      <c r="AB70" s="1">
        <v>4020.71</v>
      </c>
      <c r="AC70" s="165">
        <f t="shared" si="15"/>
        <v>21264.25</v>
      </c>
      <c r="AD70" s="1">
        <v>0</v>
      </c>
      <c r="AE70" s="1">
        <v>1644.55</v>
      </c>
      <c r="AF70" s="1"/>
      <c r="AG70" s="1">
        <v>2454.74</v>
      </c>
      <c r="AH70" s="1">
        <v>0</v>
      </c>
      <c r="AI70" s="1">
        <v>1183.77</v>
      </c>
      <c r="AJ70" s="6">
        <f t="shared" si="11"/>
        <v>26547.31</v>
      </c>
      <c r="AK70" s="1"/>
      <c r="AL70" s="1"/>
      <c r="AM70" s="1"/>
      <c r="AN70" s="1"/>
      <c r="AO70" s="6">
        <f t="shared" si="12"/>
        <v>26547.31</v>
      </c>
      <c r="AP70" s="136">
        <f t="shared" si="16"/>
        <v>-3264.8733331554067</v>
      </c>
      <c r="AQ70" s="110"/>
      <c r="AR70" s="110"/>
      <c r="AS70" s="111"/>
      <c r="AT70" s="111">
        <f t="shared" si="17"/>
        <v>-3264.8733331554067</v>
      </c>
      <c r="AU70" s="121"/>
      <c r="AV70" s="111"/>
      <c r="AW70" s="111"/>
      <c r="AX70" s="111"/>
      <c r="AY70" s="116"/>
      <c r="AZ70" s="172">
        <f t="shared" si="14"/>
        <v>0</v>
      </c>
      <c r="BA70" s="130">
        <v>269100.38</v>
      </c>
    </row>
    <row r="71" spans="1:53" ht="12.75" customHeight="1">
      <c r="A71" s="1">
        <v>60</v>
      </c>
      <c r="B71" s="1" t="s">
        <v>72</v>
      </c>
      <c r="C71" s="1">
        <v>380.3</v>
      </c>
      <c r="D71" s="1">
        <v>0</v>
      </c>
      <c r="E71" s="7">
        <f t="shared" si="18"/>
        <v>380.3</v>
      </c>
      <c r="F71" s="5">
        <v>2.9</v>
      </c>
      <c r="G71" s="5">
        <v>6.05</v>
      </c>
      <c r="H71" s="5">
        <f t="shared" si="2"/>
        <v>8.95</v>
      </c>
      <c r="I71" s="28">
        <f t="shared" si="3"/>
        <v>20422.11</v>
      </c>
      <c r="J71" s="5">
        <f t="shared" si="4"/>
        <v>3.101611830899999</v>
      </c>
      <c r="K71" s="5">
        <f t="shared" si="5"/>
        <v>6.470603992049998</v>
      </c>
      <c r="L71" s="27">
        <f t="shared" si="6"/>
        <v>9.572215822949998</v>
      </c>
      <c r="M71" s="61">
        <f t="shared" si="7"/>
        <v>21841.882064807305</v>
      </c>
      <c r="N71" s="34">
        <f t="shared" si="8"/>
        <v>42263.9920648073</v>
      </c>
      <c r="O71" s="34">
        <v>54449.68</v>
      </c>
      <c r="P71" s="34"/>
      <c r="Q71" s="5">
        <f t="shared" si="9"/>
        <v>-12185.687935192698</v>
      </c>
      <c r="R71" s="30">
        <v>10528.82</v>
      </c>
      <c r="S71" s="1">
        <v>877.4</v>
      </c>
      <c r="T71" s="1">
        <v>877.4</v>
      </c>
      <c r="U71" s="1">
        <v>877.4</v>
      </c>
      <c r="V71" s="1">
        <v>877.4</v>
      </c>
      <c r="W71" s="1">
        <v>877.4</v>
      </c>
      <c r="X71" s="1">
        <v>877.4</v>
      </c>
      <c r="Y71" s="1">
        <v>926.84</v>
      </c>
      <c r="Z71" s="1">
        <v>926.84</v>
      </c>
      <c r="AA71" s="1">
        <v>2486.1</v>
      </c>
      <c r="AB71" s="1">
        <v>2674.1</v>
      </c>
      <c r="AC71" s="165">
        <f t="shared" si="15"/>
        <v>12278.28</v>
      </c>
      <c r="AD71" s="1">
        <v>0</v>
      </c>
      <c r="AE71" s="1">
        <v>459.18</v>
      </c>
      <c r="AF71" s="1"/>
      <c r="AG71" s="1">
        <v>3358.63</v>
      </c>
      <c r="AH71" s="1">
        <v>0</v>
      </c>
      <c r="AI71" s="1">
        <v>926.84</v>
      </c>
      <c r="AJ71" s="6">
        <f t="shared" si="11"/>
        <v>17022.93</v>
      </c>
      <c r="AK71" s="1"/>
      <c r="AL71" s="1"/>
      <c r="AM71" s="1"/>
      <c r="AN71" s="1"/>
      <c r="AO71" s="6">
        <f t="shared" si="12"/>
        <v>17022.93</v>
      </c>
      <c r="AP71" s="136">
        <f t="shared" si="16"/>
        <v>-6494.110000000001</v>
      </c>
      <c r="AQ71" s="110"/>
      <c r="AR71" s="110"/>
      <c r="AS71" s="111"/>
      <c r="AT71" s="111">
        <f t="shared" si="17"/>
        <v>-6494.110000000001</v>
      </c>
      <c r="AU71" s="121"/>
      <c r="AV71" s="111"/>
      <c r="AW71" s="111"/>
      <c r="AX71" s="111"/>
      <c r="AY71" s="116"/>
      <c r="AZ71" s="172">
        <f t="shared" si="14"/>
        <v>0</v>
      </c>
      <c r="BA71" s="130">
        <v>63733.95</v>
      </c>
    </row>
    <row r="72" spans="1:53" ht="12.75">
      <c r="A72" s="1">
        <v>61</v>
      </c>
      <c r="B72" s="1" t="s">
        <v>73</v>
      </c>
      <c r="C72" s="1">
        <v>377.8</v>
      </c>
      <c r="D72" s="1">
        <v>0</v>
      </c>
      <c r="E72" s="7">
        <f t="shared" si="18"/>
        <v>377.8</v>
      </c>
      <c r="F72" s="5">
        <v>2.9</v>
      </c>
      <c r="G72" s="5">
        <v>6.05</v>
      </c>
      <c r="H72" s="5">
        <f t="shared" si="2"/>
        <v>8.95</v>
      </c>
      <c r="I72" s="28">
        <f t="shared" si="3"/>
        <v>20287.86</v>
      </c>
      <c r="J72" s="5">
        <f t="shared" si="4"/>
        <v>3.101611830899999</v>
      </c>
      <c r="K72" s="5">
        <f t="shared" si="5"/>
        <v>6.470603992049998</v>
      </c>
      <c r="L72" s="27">
        <f t="shared" si="6"/>
        <v>9.572215822949998</v>
      </c>
      <c r="M72" s="61">
        <f t="shared" si="7"/>
        <v>21698.298827463055</v>
      </c>
      <c r="N72" s="34">
        <f t="shared" si="8"/>
        <v>41986.158827463056</v>
      </c>
      <c r="O72" s="34">
        <v>8259.7</v>
      </c>
      <c r="P72" s="34">
        <v>14165.45</v>
      </c>
      <c r="Q72" s="5">
        <f t="shared" si="9"/>
        <v>33726.45882746305</v>
      </c>
      <c r="R72" s="30">
        <f t="shared" si="10"/>
        <v>47891.90882746305</v>
      </c>
      <c r="S72" s="1">
        <v>1749.3</v>
      </c>
      <c r="T72" s="1">
        <v>1923.57</v>
      </c>
      <c r="U72" s="1">
        <v>4031.45</v>
      </c>
      <c r="V72" s="1">
        <v>6662.03</v>
      </c>
      <c r="W72" s="1">
        <v>1749.3</v>
      </c>
      <c r="X72" s="1">
        <v>1749.3</v>
      </c>
      <c r="Y72" s="1">
        <v>2297.72</v>
      </c>
      <c r="Z72" s="1">
        <v>4497.79</v>
      </c>
      <c r="AA72" s="1">
        <v>3418.12</v>
      </c>
      <c r="AB72" s="1">
        <v>1747.16</v>
      </c>
      <c r="AC72" s="165">
        <f t="shared" si="15"/>
        <v>29825.739999999998</v>
      </c>
      <c r="AD72" s="1">
        <v>0</v>
      </c>
      <c r="AE72" s="1">
        <v>1030.42</v>
      </c>
      <c r="AF72" s="1"/>
      <c r="AG72" s="1">
        <v>4875.3</v>
      </c>
      <c r="AH72" s="1">
        <v>0</v>
      </c>
      <c r="AI72" s="1">
        <v>1858.86</v>
      </c>
      <c r="AJ72" s="6">
        <f t="shared" si="11"/>
        <v>37590.32</v>
      </c>
      <c r="AK72" s="1"/>
      <c r="AL72" s="1"/>
      <c r="AM72" s="1"/>
      <c r="AN72" s="1"/>
      <c r="AO72" s="6">
        <f t="shared" si="12"/>
        <v>37590.32</v>
      </c>
      <c r="AP72" s="91">
        <f t="shared" si="16"/>
        <v>10301.588827463049</v>
      </c>
      <c r="AQ72" s="10"/>
      <c r="AR72" s="10"/>
      <c r="AS72" s="34"/>
      <c r="AT72" s="116">
        <f t="shared" si="17"/>
        <v>10301.588827463049</v>
      </c>
      <c r="AU72" s="116"/>
      <c r="AV72" s="116"/>
      <c r="AW72" s="116"/>
      <c r="AX72" s="116">
        <f>AT72+AU72-AV72-AW72</f>
        <v>10301.588827463049</v>
      </c>
      <c r="AY72" s="116">
        <v>2979.34</v>
      </c>
      <c r="AZ72" s="172">
        <f t="shared" si="14"/>
        <v>7322.248827463049</v>
      </c>
      <c r="BA72" s="130">
        <v>228042.07</v>
      </c>
    </row>
    <row r="73" spans="1:53" ht="12.75" customHeight="1">
      <c r="A73" s="1">
        <v>62</v>
      </c>
      <c r="B73" s="1" t="s">
        <v>74</v>
      </c>
      <c r="C73" s="1">
        <v>363.5</v>
      </c>
      <c r="D73" s="1">
        <v>0</v>
      </c>
      <c r="E73" s="7">
        <f t="shared" si="18"/>
        <v>363.5</v>
      </c>
      <c r="F73" s="5">
        <v>2.9</v>
      </c>
      <c r="G73" s="5">
        <v>6.05</v>
      </c>
      <c r="H73" s="5">
        <f t="shared" si="2"/>
        <v>8.95</v>
      </c>
      <c r="I73" s="28">
        <f t="shared" si="3"/>
        <v>19519.949999999997</v>
      </c>
      <c r="J73" s="5">
        <f t="shared" si="4"/>
        <v>3.101611830899999</v>
      </c>
      <c r="K73" s="5">
        <f t="shared" si="5"/>
        <v>6.470603992049998</v>
      </c>
      <c r="L73" s="27">
        <f t="shared" si="6"/>
        <v>9.572215822949998</v>
      </c>
      <c r="M73" s="61">
        <f t="shared" si="7"/>
        <v>20877.002709853943</v>
      </c>
      <c r="N73" s="34">
        <f t="shared" si="8"/>
        <v>40396.95270985394</v>
      </c>
      <c r="O73" s="34">
        <v>9213.14</v>
      </c>
      <c r="P73" s="34">
        <v>8232.16</v>
      </c>
      <c r="Q73" s="5">
        <f t="shared" si="9"/>
        <v>31183.81270985394</v>
      </c>
      <c r="R73" s="30">
        <f t="shared" si="10"/>
        <v>39415.972709853944</v>
      </c>
      <c r="S73" s="1">
        <v>1689.81</v>
      </c>
      <c r="T73" s="1">
        <v>1864.08</v>
      </c>
      <c r="U73" s="1">
        <v>3297.67</v>
      </c>
      <c r="V73" s="1">
        <v>1689.81</v>
      </c>
      <c r="W73" s="1">
        <v>1689.81</v>
      </c>
      <c r="X73" s="1">
        <v>6899.85</v>
      </c>
      <c r="Y73" s="1">
        <v>4208.9</v>
      </c>
      <c r="Z73" s="1">
        <v>2980.65</v>
      </c>
      <c r="AA73" s="1">
        <v>15030.54</v>
      </c>
      <c r="AB73" s="1">
        <v>1722.53</v>
      </c>
      <c r="AC73" s="165">
        <f t="shared" si="15"/>
        <v>41073.65</v>
      </c>
      <c r="AD73" s="1">
        <v>0</v>
      </c>
      <c r="AE73" s="1">
        <v>991.42</v>
      </c>
      <c r="AF73" s="1"/>
      <c r="AG73" s="1">
        <v>3939.04</v>
      </c>
      <c r="AH73" s="1">
        <v>0</v>
      </c>
      <c r="AI73" s="1">
        <v>1795.23</v>
      </c>
      <c r="AJ73" s="6">
        <f t="shared" si="11"/>
        <v>47799.340000000004</v>
      </c>
      <c r="AK73" s="1"/>
      <c r="AL73" s="1"/>
      <c r="AM73" s="1"/>
      <c r="AN73" s="1"/>
      <c r="AO73" s="6">
        <f t="shared" si="12"/>
        <v>47799.340000000004</v>
      </c>
      <c r="AP73" s="136">
        <f t="shared" si="16"/>
        <v>-8383.36729014606</v>
      </c>
      <c r="AQ73" s="110"/>
      <c r="AR73" s="110"/>
      <c r="AS73" s="111"/>
      <c r="AT73" s="111">
        <f t="shared" si="17"/>
        <v>-8383.36729014606</v>
      </c>
      <c r="AU73" s="121"/>
      <c r="AV73" s="111"/>
      <c r="AW73" s="111"/>
      <c r="AX73" s="111"/>
      <c r="AY73" s="116"/>
      <c r="AZ73" s="172">
        <f t="shared" si="14"/>
        <v>0</v>
      </c>
      <c r="BA73" s="130">
        <v>57658.53</v>
      </c>
    </row>
    <row r="74" spans="1:53" ht="12.75" customHeight="1">
      <c r="A74" s="1">
        <v>63</v>
      </c>
      <c r="B74" s="1" t="s">
        <v>75</v>
      </c>
      <c r="C74" s="1">
        <v>609.2</v>
      </c>
      <c r="D74" s="1">
        <v>0</v>
      </c>
      <c r="E74" s="7">
        <f t="shared" si="18"/>
        <v>609.2</v>
      </c>
      <c r="F74" s="5">
        <v>2.9</v>
      </c>
      <c r="G74" s="5">
        <v>6.16</v>
      </c>
      <c r="H74" s="5">
        <f t="shared" si="2"/>
        <v>9.06</v>
      </c>
      <c r="I74" s="28">
        <f t="shared" si="3"/>
        <v>33116.11200000001</v>
      </c>
      <c r="J74" s="5">
        <f t="shared" si="4"/>
        <v>3.101611830899999</v>
      </c>
      <c r="K74" s="5">
        <f t="shared" si="5"/>
        <v>6.588251337359999</v>
      </c>
      <c r="L74" s="27">
        <f t="shared" si="6"/>
        <v>9.689863168259999</v>
      </c>
      <c r="M74" s="61">
        <f t="shared" si="7"/>
        <v>35418.38785262395</v>
      </c>
      <c r="N74" s="34">
        <f t="shared" si="8"/>
        <v>68534.49985262397</v>
      </c>
      <c r="O74" s="34">
        <v>3524.84</v>
      </c>
      <c r="P74" s="34">
        <v>12508.96</v>
      </c>
      <c r="Q74" s="5">
        <f t="shared" si="9"/>
        <v>65009.65985262397</v>
      </c>
      <c r="R74" s="30">
        <f t="shared" si="10"/>
        <v>77518.61985262396</v>
      </c>
      <c r="S74" s="1">
        <v>2712.34</v>
      </c>
      <c r="T74" s="1">
        <v>2886.61</v>
      </c>
      <c r="U74" s="1">
        <v>4320.2</v>
      </c>
      <c r="V74" s="1">
        <v>4480.31</v>
      </c>
      <c r="W74" s="1">
        <v>2712.34</v>
      </c>
      <c r="X74" s="1">
        <v>3640.25</v>
      </c>
      <c r="Y74" s="1">
        <v>28711.96</v>
      </c>
      <c r="Z74" s="1">
        <v>13967.95</v>
      </c>
      <c r="AA74" s="1">
        <v>72077.62</v>
      </c>
      <c r="AB74" s="1">
        <v>2145.94</v>
      </c>
      <c r="AC74" s="165">
        <f t="shared" si="15"/>
        <v>137655.52000000002</v>
      </c>
      <c r="AD74" s="1">
        <v>0</v>
      </c>
      <c r="AE74" s="1">
        <v>1661.82</v>
      </c>
      <c r="AF74" s="1"/>
      <c r="AG74" s="1">
        <v>2889.04</v>
      </c>
      <c r="AH74" s="1">
        <v>0</v>
      </c>
      <c r="AI74" s="1">
        <v>2889.04</v>
      </c>
      <c r="AJ74" s="6">
        <f t="shared" si="11"/>
        <v>145095.42000000004</v>
      </c>
      <c r="AK74" s="1"/>
      <c r="AL74" s="1"/>
      <c r="AM74" s="1"/>
      <c r="AN74" s="1"/>
      <c r="AO74" s="6">
        <f t="shared" si="12"/>
        <v>145095.42000000004</v>
      </c>
      <c r="AP74" s="136">
        <f t="shared" si="16"/>
        <v>-67576.80014737608</v>
      </c>
      <c r="AQ74" s="110"/>
      <c r="AR74" s="110"/>
      <c r="AS74" s="111"/>
      <c r="AT74" s="111">
        <f t="shared" si="17"/>
        <v>-67576.80014737608</v>
      </c>
      <c r="AU74" s="121"/>
      <c r="AV74" s="111"/>
      <c r="AW74" s="111"/>
      <c r="AX74" s="111"/>
      <c r="AY74" s="116"/>
      <c r="AZ74" s="172">
        <f t="shared" si="14"/>
        <v>0</v>
      </c>
      <c r="BA74" s="130">
        <v>18078.39</v>
      </c>
    </row>
    <row r="75" spans="1:53" ht="12.75" customHeight="1">
      <c r="A75" s="1">
        <v>64</v>
      </c>
      <c r="B75" s="1" t="s">
        <v>76</v>
      </c>
      <c r="C75" s="1">
        <v>463.7</v>
      </c>
      <c r="D75" s="1">
        <v>0</v>
      </c>
      <c r="E75" s="7">
        <f t="shared" si="18"/>
        <v>463.7</v>
      </c>
      <c r="F75" s="5">
        <v>2.9</v>
      </c>
      <c r="G75" s="5">
        <v>6.16</v>
      </c>
      <c r="H75" s="5">
        <f t="shared" si="2"/>
        <v>9.06</v>
      </c>
      <c r="I75" s="28">
        <f t="shared" si="3"/>
        <v>25206.732000000004</v>
      </c>
      <c r="J75" s="5">
        <f t="shared" si="4"/>
        <v>3.101611830899999</v>
      </c>
      <c r="K75" s="5">
        <f t="shared" si="5"/>
        <v>6.588251337359999</v>
      </c>
      <c r="L75" s="27">
        <f t="shared" si="6"/>
        <v>9.689863168259999</v>
      </c>
      <c r="M75" s="61">
        <f t="shared" si="7"/>
        <v>26959.137306732966</v>
      </c>
      <c r="N75" s="34">
        <f t="shared" si="8"/>
        <v>52165.86930673297</v>
      </c>
      <c r="O75" s="34">
        <v>5074.44</v>
      </c>
      <c r="P75" s="34">
        <v>4101.38</v>
      </c>
      <c r="Q75" s="5">
        <f t="shared" si="9"/>
        <v>47091.42930673297</v>
      </c>
      <c r="R75" s="30">
        <f t="shared" si="10"/>
        <v>51192.80930673297</v>
      </c>
      <c r="S75" s="1">
        <v>2106.64</v>
      </c>
      <c r="T75" s="1">
        <v>2280.91</v>
      </c>
      <c r="U75" s="1">
        <v>2106.64</v>
      </c>
      <c r="V75" s="1">
        <v>10802.51</v>
      </c>
      <c r="W75" s="1">
        <v>2106.64</v>
      </c>
      <c r="X75" s="1">
        <v>2106.64</v>
      </c>
      <c r="Y75" s="1">
        <v>2679.98</v>
      </c>
      <c r="Z75" s="1">
        <v>3487.05</v>
      </c>
      <c r="AA75" s="1">
        <v>2241.12</v>
      </c>
      <c r="AB75" s="1">
        <v>1895.13</v>
      </c>
      <c r="AC75" s="165">
        <f t="shared" si="15"/>
        <v>31813.259999999995</v>
      </c>
      <c r="AD75" s="1">
        <v>0</v>
      </c>
      <c r="AE75" s="1">
        <v>12571.65</v>
      </c>
      <c r="AF75" s="1"/>
      <c r="AG75" s="1">
        <v>3113.75</v>
      </c>
      <c r="AH75" s="1">
        <v>0</v>
      </c>
      <c r="AI75" s="1">
        <v>4784.76</v>
      </c>
      <c r="AJ75" s="6">
        <f t="shared" si="11"/>
        <v>52283.42</v>
      </c>
      <c r="AK75" s="1"/>
      <c r="AL75" s="1"/>
      <c r="AM75" s="1"/>
      <c r="AN75" s="1"/>
      <c r="AO75" s="6">
        <f t="shared" si="12"/>
        <v>52283.42</v>
      </c>
      <c r="AP75" s="136">
        <f t="shared" si="16"/>
        <v>-1090.61069326703</v>
      </c>
      <c r="AQ75" s="110"/>
      <c r="AR75" s="110"/>
      <c r="AS75" s="111"/>
      <c r="AT75" s="111">
        <f t="shared" si="17"/>
        <v>-1090.61069326703</v>
      </c>
      <c r="AU75" s="121"/>
      <c r="AV75" s="111"/>
      <c r="AW75" s="111"/>
      <c r="AX75" s="111"/>
      <c r="AY75" s="116"/>
      <c r="AZ75" s="172">
        <f t="shared" si="14"/>
        <v>0</v>
      </c>
      <c r="BA75" s="130">
        <v>8816.11</v>
      </c>
    </row>
    <row r="76" spans="1:53" ht="12.75">
      <c r="A76" s="1">
        <v>65</v>
      </c>
      <c r="B76" s="1" t="s">
        <v>77</v>
      </c>
      <c r="C76" s="1">
        <v>5669.6</v>
      </c>
      <c r="D76" s="1">
        <v>179.8</v>
      </c>
      <c r="E76" s="7">
        <f t="shared" si="18"/>
        <v>5849.400000000001</v>
      </c>
      <c r="F76" s="5">
        <v>2.9</v>
      </c>
      <c r="G76" s="5">
        <v>7.85</v>
      </c>
      <c r="H76" s="5">
        <f aca="true" t="shared" si="19" ref="H76:H139">F76+G76</f>
        <v>10.75</v>
      </c>
      <c r="I76" s="28">
        <f aca="true" t="shared" si="20" ref="I76:I139">E76*H76*6</f>
        <v>377286.30000000005</v>
      </c>
      <c r="J76" s="5">
        <f aca="true" t="shared" si="21" ref="J76:J139">F76*1.067*1.002363</f>
        <v>3.101611830899999</v>
      </c>
      <c r="K76" s="5">
        <f aca="true" t="shared" si="22" ref="K76:K139">G76*1.067*1.002363</f>
        <v>8.395742369849998</v>
      </c>
      <c r="L76" s="27">
        <f aca="true" t="shared" si="23" ref="L76:L139">J76+K76</f>
        <v>11.497354200749998</v>
      </c>
      <c r="M76" s="61">
        <f aca="true" t="shared" si="24" ref="M76:M139">L76*E76*6</f>
        <v>403515.7419712022</v>
      </c>
      <c r="N76" s="34">
        <f aca="true" t="shared" si="25" ref="N76:N139">I76+M76</f>
        <v>780802.0419712022</v>
      </c>
      <c r="O76" s="34">
        <v>104109.53</v>
      </c>
      <c r="P76" s="34">
        <v>132308.52</v>
      </c>
      <c r="Q76" s="5">
        <f aca="true" t="shared" si="26" ref="Q76:Q139">N76-O76</f>
        <v>676692.5119712022</v>
      </c>
      <c r="R76" s="30">
        <f aca="true" t="shared" si="27" ref="R76:R139">Q76+P76</f>
        <v>809001.0319712022</v>
      </c>
      <c r="S76" s="1">
        <v>35638.53</v>
      </c>
      <c r="T76" s="1">
        <v>43510.08</v>
      </c>
      <c r="U76" s="1">
        <v>44893.88</v>
      </c>
      <c r="V76" s="1">
        <v>53023.1</v>
      </c>
      <c r="W76" s="1">
        <v>32294.14</v>
      </c>
      <c r="X76" s="1">
        <v>40577.01</v>
      </c>
      <c r="Y76" s="1">
        <v>37943.24</v>
      </c>
      <c r="Z76" s="1">
        <v>62443.43</v>
      </c>
      <c r="AA76" s="1">
        <v>49769.44</v>
      </c>
      <c r="AB76" s="1">
        <v>17211.77</v>
      </c>
      <c r="AC76" s="165">
        <f t="shared" si="15"/>
        <v>417304.62</v>
      </c>
      <c r="AD76" s="1">
        <v>0</v>
      </c>
      <c r="AE76" s="1">
        <v>22173.29</v>
      </c>
      <c r="AF76" s="1"/>
      <c r="AG76" s="1">
        <v>47023.88</v>
      </c>
      <c r="AH76" s="1">
        <v>0</v>
      </c>
      <c r="AI76" s="1">
        <v>47420.96</v>
      </c>
      <c r="AJ76" s="6">
        <f t="shared" si="11"/>
        <v>533922.75</v>
      </c>
      <c r="AK76" s="1"/>
      <c r="AL76" s="1"/>
      <c r="AM76" s="1"/>
      <c r="AN76" s="1">
        <v>135669.02</v>
      </c>
      <c r="AO76" s="6">
        <f t="shared" si="12"/>
        <v>669591.77</v>
      </c>
      <c r="AP76" s="91">
        <f t="shared" si="16"/>
        <v>139409.2619712022</v>
      </c>
      <c r="AQ76" s="10"/>
      <c r="AR76" s="10"/>
      <c r="AS76" s="34"/>
      <c r="AT76" s="116">
        <f aca="true" t="shared" si="28" ref="AT76:AT139">AP76+AQ76+AR76+AS76</f>
        <v>139409.2619712022</v>
      </c>
      <c r="AU76" s="116"/>
      <c r="AV76" s="116">
        <f>3799.44*4</f>
        <v>15197.76</v>
      </c>
      <c r="AW76" s="116">
        <f>490+20000</f>
        <v>20490</v>
      </c>
      <c r="AX76" s="116">
        <f>AT76+AU76-AV76-AW76</f>
        <v>103721.50197120222</v>
      </c>
      <c r="AY76" s="116">
        <v>35781.72</v>
      </c>
      <c r="AZ76" s="172">
        <f t="shared" si="14"/>
        <v>67939.78197120222</v>
      </c>
      <c r="BA76" s="130">
        <v>282617.06</v>
      </c>
    </row>
    <row r="77" spans="1:53" ht="12.75">
      <c r="A77" s="1">
        <v>66</v>
      </c>
      <c r="B77" s="1" t="s">
        <v>78</v>
      </c>
      <c r="C77" s="1">
        <v>471.7</v>
      </c>
      <c r="D77" s="1">
        <v>0</v>
      </c>
      <c r="E77" s="7">
        <f t="shared" si="18"/>
        <v>471.7</v>
      </c>
      <c r="F77" s="5">
        <v>2.9</v>
      </c>
      <c r="G77" s="5">
        <v>6.36</v>
      </c>
      <c r="H77" s="5">
        <f t="shared" si="19"/>
        <v>9.26</v>
      </c>
      <c r="I77" s="28">
        <f t="shared" si="20"/>
        <v>26207.652000000002</v>
      </c>
      <c r="J77" s="5">
        <f t="shared" si="21"/>
        <v>3.101611830899999</v>
      </c>
      <c r="K77" s="5">
        <f t="shared" si="22"/>
        <v>6.80215560156</v>
      </c>
      <c r="L77" s="27">
        <f t="shared" si="23"/>
        <v>9.903767432459999</v>
      </c>
      <c r="M77" s="61">
        <f t="shared" si="24"/>
        <v>28029.642587348288</v>
      </c>
      <c r="N77" s="34">
        <f t="shared" si="25"/>
        <v>54237.29458734829</v>
      </c>
      <c r="O77" s="34">
        <v>3223.48</v>
      </c>
      <c r="P77" s="34"/>
      <c r="Q77" s="5">
        <f t="shared" si="26"/>
        <v>51013.814587348286</v>
      </c>
      <c r="R77" s="30">
        <f t="shared" si="27"/>
        <v>51013.814587348286</v>
      </c>
      <c r="S77" s="1">
        <v>2139.92</v>
      </c>
      <c r="T77" s="1">
        <v>2314.19</v>
      </c>
      <c r="U77" s="1">
        <v>4160.22</v>
      </c>
      <c r="V77" s="1">
        <v>3907.89</v>
      </c>
      <c r="W77" s="1">
        <v>2648.63</v>
      </c>
      <c r="X77" s="1">
        <v>2139.92</v>
      </c>
      <c r="Y77" s="1">
        <v>3224.29</v>
      </c>
      <c r="Z77" s="1">
        <v>3862.62</v>
      </c>
      <c r="AA77" s="1">
        <v>3321.24</v>
      </c>
      <c r="AB77" s="1">
        <v>1908.91</v>
      </c>
      <c r="AC77" s="165">
        <f t="shared" si="15"/>
        <v>29627.830000000005</v>
      </c>
      <c r="AD77" s="1">
        <v>0</v>
      </c>
      <c r="AE77" s="1">
        <v>1286.52</v>
      </c>
      <c r="AF77" s="1"/>
      <c r="AG77" s="1">
        <v>3149.35</v>
      </c>
      <c r="AH77" s="1">
        <v>0</v>
      </c>
      <c r="AI77" s="1">
        <v>2276.72</v>
      </c>
      <c r="AJ77" s="6">
        <f aca="true" t="shared" si="29" ref="AJ77:AJ140">AC77+AD77+AE77+AF77+AG77+AH77+AI77</f>
        <v>36340.420000000006</v>
      </c>
      <c r="AK77" s="1"/>
      <c r="AL77" s="1"/>
      <c r="AM77" s="1"/>
      <c r="AN77" s="1"/>
      <c r="AO77" s="6">
        <f aca="true" t="shared" si="30" ref="AO77:AO140">AJ77+AK77+AL77+AM77+AN77</f>
        <v>36340.420000000006</v>
      </c>
      <c r="AP77" s="91">
        <f t="shared" si="16"/>
        <v>14673.39458734828</v>
      </c>
      <c r="AQ77" s="10"/>
      <c r="AR77" s="10"/>
      <c r="AS77" s="34"/>
      <c r="AT77" s="116">
        <f t="shared" si="28"/>
        <v>14673.39458734828</v>
      </c>
      <c r="AU77" s="116"/>
      <c r="AV77" s="116"/>
      <c r="AW77" s="116"/>
      <c r="AX77" s="146">
        <f>AT77+AU77-AV77-AW77</f>
        <v>14673.39458734828</v>
      </c>
      <c r="AY77" s="116">
        <v>4243.72</v>
      </c>
      <c r="AZ77" s="172">
        <f aca="true" t="shared" si="31" ref="AZ77:AZ140">AX77-AY77</f>
        <v>10429.67458734828</v>
      </c>
      <c r="BA77" s="130">
        <v>63650.47</v>
      </c>
    </row>
    <row r="78" spans="1:53" ht="12.75">
      <c r="A78" s="1">
        <v>67</v>
      </c>
      <c r="B78" s="1" t="s">
        <v>79</v>
      </c>
      <c r="C78" s="1">
        <v>475.2</v>
      </c>
      <c r="D78" s="1">
        <v>0</v>
      </c>
      <c r="E78" s="7">
        <f t="shared" si="18"/>
        <v>475.2</v>
      </c>
      <c r="F78" s="5">
        <v>2.9</v>
      </c>
      <c r="G78" s="5">
        <v>6.16</v>
      </c>
      <c r="H78" s="5">
        <f t="shared" si="19"/>
        <v>9.06</v>
      </c>
      <c r="I78" s="28">
        <f t="shared" si="20"/>
        <v>25831.872</v>
      </c>
      <c r="J78" s="5">
        <f t="shared" si="21"/>
        <v>3.101611830899999</v>
      </c>
      <c r="K78" s="5">
        <f t="shared" si="22"/>
        <v>6.588251337359999</v>
      </c>
      <c r="L78" s="27">
        <f t="shared" si="23"/>
        <v>9.689863168259999</v>
      </c>
      <c r="M78" s="61">
        <f t="shared" si="24"/>
        <v>27627.737865342904</v>
      </c>
      <c r="N78" s="34">
        <f t="shared" si="25"/>
        <v>53459.60986534291</v>
      </c>
      <c r="O78" s="34">
        <v>11017.7</v>
      </c>
      <c r="P78" s="34">
        <v>14198.8</v>
      </c>
      <c r="Q78" s="5">
        <f t="shared" si="26"/>
        <v>42441.90986534291</v>
      </c>
      <c r="R78" s="30">
        <f t="shared" si="27"/>
        <v>56640.70986534291</v>
      </c>
      <c r="S78" s="1">
        <v>2623.45</v>
      </c>
      <c r="T78" s="1">
        <v>2328.75</v>
      </c>
      <c r="U78" s="1">
        <v>3762.34</v>
      </c>
      <c r="V78" s="1">
        <v>4464.7</v>
      </c>
      <c r="W78" s="1">
        <v>2154.48</v>
      </c>
      <c r="X78" s="1">
        <v>2154.48</v>
      </c>
      <c r="Y78" s="1">
        <v>2292.29</v>
      </c>
      <c r="Z78" s="1">
        <v>3538.22</v>
      </c>
      <c r="AA78" s="1">
        <v>2889.06</v>
      </c>
      <c r="AB78" s="1">
        <v>1914.94</v>
      </c>
      <c r="AC78" s="165">
        <f aca="true" t="shared" si="32" ref="AC78:AC141">S78+T78++U78+V78+W78+X78+Y78+Z78+AA78+AB78</f>
        <v>28122.710000000003</v>
      </c>
      <c r="AD78" s="1">
        <v>0</v>
      </c>
      <c r="AE78" s="1">
        <v>1296.07</v>
      </c>
      <c r="AF78" s="1"/>
      <c r="AG78" s="1">
        <v>3164.92</v>
      </c>
      <c r="AH78" s="1">
        <v>0</v>
      </c>
      <c r="AI78" s="1">
        <v>2292.29</v>
      </c>
      <c r="AJ78" s="6">
        <f t="shared" si="29"/>
        <v>34875.990000000005</v>
      </c>
      <c r="AK78" s="1"/>
      <c r="AL78" s="1"/>
      <c r="AM78" s="1"/>
      <c r="AN78" s="1"/>
      <c r="AO78" s="6">
        <f t="shared" si="30"/>
        <v>34875.990000000005</v>
      </c>
      <c r="AP78" s="91">
        <f t="shared" si="16"/>
        <v>21764.719865342908</v>
      </c>
      <c r="AQ78" s="10"/>
      <c r="AR78" s="10"/>
      <c r="AS78" s="34"/>
      <c r="AT78" s="116">
        <f t="shared" si="28"/>
        <v>21764.719865342908</v>
      </c>
      <c r="AU78" s="116"/>
      <c r="AV78" s="116"/>
      <c r="AW78" s="116"/>
      <c r="AX78" s="146">
        <f>AT78+AU78-AV78-AW78</f>
        <v>21764.719865342908</v>
      </c>
      <c r="AY78" s="116">
        <v>6294.61</v>
      </c>
      <c r="AZ78" s="172">
        <f t="shared" si="31"/>
        <v>15470.109865342907</v>
      </c>
      <c r="BA78" s="130">
        <v>84024.01</v>
      </c>
    </row>
    <row r="79" spans="1:53" ht="12.75">
      <c r="A79" s="1">
        <v>68</v>
      </c>
      <c r="B79" s="1" t="s">
        <v>80</v>
      </c>
      <c r="C79" s="1">
        <v>7841.7</v>
      </c>
      <c r="D79" s="1">
        <v>0</v>
      </c>
      <c r="E79" s="7">
        <f t="shared" si="18"/>
        <v>7841.7</v>
      </c>
      <c r="F79" s="5">
        <v>2.9</v>
      </c>
      <c r="G79" s="5">
        <v>7.85</v>
      </c>
      <c r="H79" s="5">
        <f t="shared" si="19"/>
        <v>10.75</v>
      </c>
      <c r="I79" s="28">
        <f t="shared" si="20"/>
        <v>505789.64999999997</v>
      </c>
      <c r="J79" s="5">
        <f t="shared" si="21"/>
        <v>3.101611830899999</v>
      </c>
      <c r="K79" s="5">
        <f t="shared" si="22"/>
        <v>8.395742369849998</v>
      </c>
      <c r="L79" s="27">
        <f t="shared" si="23"/>
        <v>11.497354200749998</v>
      </c>
      <c r="M79" s="61">
        <f t="shared" si="24"/>
        <v>540952.8146161275</v>
      </c>
      <c r="N79" s="34">
        <f t="shared" si="25"/>
        <v>1046742.4646161275</v>
      </c>
      <c r="O79" s="34">
        <v>587004.88</v>
      </c>
      <c r="P79" s="34"/>
      <c r="Q79" s="5">
        <f t="shared" si="26"/>
        <v>459737.58461612754</v>
      </c>
      <c r="R79" s="30">
        <f t="shared" si="27"/>
        <v>459737.58461612754</v>
      </c>
      <c r="S79" s="1">
        <v>46651.09</v>
      </c>
      <c r="T79" s="1">
        <v>42710.13</v>
      </c>
      <c r="U79" s="1">
        <v>53421.6</v>
      </c>
      <c r="V79" s="1">
        <v>55889.85</v>
      </c>
      <c r="W79" s="1">
        <v>45051.87</v>
      </c>
      <c r="X79" s="1">
        <v>96508.1</v>
      </c>
      <c r="Y79" s="1">
        <v>70048.79</v>
      </c>
      <c r="Z79" s="1">
        <v>57367.77</v>
      </c>
      <c r="AA79" s="1">
        <v>93704.68</v>
      </c>
      <c r="AB79" s="1">
        <v>18833.46</v>
      </c>
      <c r="AC79" s="165">
        <f t="shared" si="32"/>
        <v>580187.34</v>
      </c>
      <c r="AD79" s="1">
        <v>0</v>
      </c>
      <c r="AE79" s="1">
        <v>24508.2</v>
      </c>
      <c r="AF79" s="1"/>
      <c r="AG79" s="1">
        <v>39623.47</v>
      </c>
      <c r="AH79" s="1">
        <v>0</v>
      </c>
      <c r="AI79" s="1">
        <v>43063.44</v>
      </c>
      <c r="AJ79" s="6">
        <f t="shared" si="29"/>
        <v>687382.45</v>
      </c>
      <c r="AK79" s="1">
        <f>4201</f>
        <v>4201</v>
      </c>
      <c r="AL79" s="1"/>
      <c r="AM79" s="1"/>
      <c r="AN79" s="95">
        <v>74242</v>
      </c>
      <c r="AO79" s="6">
        <f t="shared" si="30"/>
        <v>765825.45</v>
      </c>
      <c r="AP79" s="136">
        <f t="shared" si="16"/>
        <v>-306087.8653838724</v>
      </c>
      <c r="AQ79" s="110"/>
      <c r="AR79" s="110"/>
      <c r="AS79" s="111"/>
      <c r="AT79" s="111">
        <f t="shared" si="28"/>
        <v>-306087.8653838724</v>
      </c>
      <c r="AU79" s="121">
        <v>4394</v>
      </c>
      <c r="AV79" s="111"/>
      <c r="AW79" s="111"/>
      <c r="AX79" s="147">
        <f>AU79-AV79</f>
        <v>4394</v>
      </c>
      <c r="AY79" s="116">
        <v>1270.8</v>
      </c>
      <c r="AZ79" s="172">
        <f t="shared" si="31"/>
        <v>3123.2</v>
      </c>
      <c r="BA79" s="130">
        <v>281599.46</v>
      </c>
    </row>
    <row r="80" spans="1:53" ht="12.75">
      <c r="A80" s="1">
        <v>69</v>
      </c>
      <c r="B80" s="1" t="s">
        <v>81</v>
      </c>
      <c r="C80" s="1">
        <v>471.4</v>
      </c>
      <c r="D80" s="1">
        <v>0</v>
      </c>
      <c r="E80" s="7">
        <f t="shared" si="18"/>
        <v>471.4</v>
      </c>
      <c r="F80" s="5">
        <v>2.9</v>
      </c>
      <c r="G80" s="5">
        <v>6.16</v>
      </c>
      <c r="H80" s="5">
        <f t="shared" si="19"/>
        <v>9.06</v>
      </c>
      <c r="I80" s="28">
        <f t="shared" si="20"/>
        <v>25625.304</v>
      </c>
      <c r="J80" s="5">
        <f t="shared" si="21"/>
        <v>3.101611830899999</v>
      </c>
      <c r="K80" s="5">
        <f t="shared" si="22"/>
        <v>6.588251337359999</v>
      </c>
      <c r="L80" s="27">
        <f t="shared" si="23"/>
        <v>9.689863168259999</v>
      </c>
      <c r="M80" s="61">
        <f t="shared" si="24"/>
        <v>27406.808985106578</v>
      </c>
      <c r="N80" s="34">
        <f t="shared" si="25"/>
        <v>53032.11298510658</v>
      </c>
      <c r="O80" s="34">
        <v>1599.9</v>
      </c>
      <c r="P80" s="34">
        <v>15338.3</v>
      </c>
      <c r="Q80" s="5">
        <f t="shared" si="26"/>
        <v>51432.21298510658</v>
      </c>
      <c r="R80" s="30">
        <f t="shared" si="27"/>
        <v>66770.51298510657</v>
      </c>
      <c r="S80" s="1">
        <v>2140.75</v>
      </c>
      <c r="T80" s="1">
        <v>2315.02</v>
      </c>
      <c r="U80" s="1">
        <v>4220.05</v>
      </c>
      <c r="V80" s="1">
        <v>4763.99</v>
      </c>
      <c r="W80" s="1">
        <v>2140.75</v>
      </c>
      <c r="X80" s="1">
        <v>2140.75</v>
      </c>
      <c r="Y80" s="1">
        <v>2277.61</v>
      </c>
      <c r="Z80" s="1">
        <v>3523.54</v>
      </c>
      <c r="AA80" s="1">
        <v>3137.82</v>
      </c>
      <c r="AB80" s="1">
        <v>990.54</v>
      </c>
      <c r="AC80" s="165">
        <f t="shared" si="32"/>
        <v>27650.82</v>
      </c>
      <c r="AD80" s="1">
        <v>0</v>
      </c>
      <c r="AE80" s="1">
        <v>1287.07</v>
      </c>
      <c r="AF80" s="1"/>
      <c r="AG80" s="1">
        <v>4204.41</v>
      </c>
      <c r="AH80" s="1">
        <v>0</v>
      </c>
      <c r="AI80" s="1">
        <v>20250.46</v>
      </c>
      <c r="AJ80" s="6">
        <f t="shared" si="29"/>
        <v>53392.76</v>
      </c>
      <c r="AK80" s="1"/>
      <c r="AL80" s="1"/>
      <c r="AM80" s="1"/>
      <c r="AN80" s="1"/>
      <c r="AO80" s="6">
        <f t="shared" si="30"/>
        <v>53392.76</v>
      </c>
      <c r="AP80" s="91">
        <f t="shared" si="16"/>
        <v>13377.75298510657</v>
      </c>
      <c r="AQ80" s="10"/>
      <c r="AR80" s="10"/>
      <c r="AS80" s="34"/>
      <c r="AT80" s="116">
        <f t="shared" si="28"/>
        <v>13377.75298510657</v>
      </c>
      <c r="AU80" s="116"/>
      <c r="AV80" s="116"/>
      <c r="AW80" s="116"/>
      <c r="AX80" s="116">
        <f>AT80+AU80-AV80-AW80</f>
        <v>13377.75298510657</v>
      </c>
      <c r="AY80" s="116">
        <v>3869</v>
      </c>
      <c r="AZ80" s="172">
        <f t="shared" si="31"/>
        <v>9508.75298510657</v>
      </c>
      <c r="BA80" s="130">
        <v>103241.55</v>
      </c>
    </row>
    <row r="81" spans="1:53" ht="12.75" customHeight="1">
      <c r="A81" s="1">
        <v>70</v>
      </c>
      <c r="B81" s="1" t="s">
        <v>82</v>
      </c>
      <c r="C81" s="1">
        <v>361.2</v>
      </c>
      <c r="D81" s="1">
        <v>0</v>
      </c>
      <c r="E81" s="7">
        <f t="shared" si="18"/>
        <v>361.2</v>
      </c>
      <c r="F81" s="5">
        <v>2.9</v>
      </c>
      <c r="G81" s="5">
        <v>6.16</v>
      </c>
      <c r="H81" s="5">
        <f t="shared" si="19"/>
        <v>9.06</v>
      </c>
      <c r="I81" s="28">
        <f t="shared" si="20"/>
        <v>19634.832000000002</v>
      </c>
      <c r="J81" s="5">
        <f t="shared" si="21"/>
        <v>3.101611830899999</v>
      </c>
      <c r="K81" s="5">
        <f t="shared" si="22"/>
        <v>6.588251337359999</v>
      </c>
      <c r="L81" s="27">
        <f t="shared" si="23"/>
        <v>9.689863168259999</v>
      </c>
      <c r="M81" s="61">
        <f t="shared" si="24"/>
        <v>20999.871458253067</v>
      </c>
      <c r="N81" s="34">
        <f t="shared" si="25"/>
        <v>40634.70345825307</v>
      </c>
      <c r="O81" s="34">
        <v>104575.24</v>
      </c>
      <c r="P81" s="34"/>
      <c r="Q81" s="5">
        <f t="shared" si="26"/>
        <v>-63940.53654174694</v>
      </c>
      <c r="R81" s="30">
        <v>10107.1</v>
      </c>
      <c r="S81" s="1">
        <v>842.26</v>
      </c>
      <c r="T81" s="1">
        <v>1777.49</v>
      </c>
      <c r="U81" s="1">
        <v>1680.24</v>
      </c>
      <c r="V81" s="1">
        <v>1680.24</v>
      </c>
      <c r="W81" s="1">
        <v>8469.23</v>
      </c>
      <c r="X81" s="1">
        <v>1680.24</v>
      </c>
      <c r="Y81" s="1">
        <v>1784.99</v>
      </c>
      <c r="Z81" s="1">
        <v>2333.27</v>
      </c>
      <c r="AA81" s="1">
        <v>7827.65</v>
      </c>
      <c r="AB81" s="1">
        <v>799.85</v>
      </c>
      <c r="AC81" s="165">
        <f t="shared" si="32"/>
        <v>28875.46</v>
      </c>
      <c r="AD81" s="1">
        <v>0</v>
      </c>
      <c r="AE81" s="1">
        <v>1997.9</v>
      </c>
      <c r="AF81" s="1"/>
      <c r="AG81" s="1">
        <v>1784.99</v>
      </c>
      <c r="AH81" s="1">
        <v>0</v>
      </c>
      <c r="AI81" s="1">
        <v>1784.99</v>
      </c>
      <c r="AJ81" s="6">
        <f t="shared" si="29"/>
        <v>34443.340000000004</v>
      </c>
      <c r="AK81" s="1"/>
      <c r="AL81" s="1"/>
      <c r="AM81" s="1"/>
      <c r="AN81" s="1"/>
      <c r="AO81" s="6">
        <f t="shared" si="30"/>
        <v>34443.340000000004</v>
      </c>
      <c r="AP81" s="136">
        <f t="shared" si="16"/>
        <v>-24336.240000000005</v>
      </c>
      <c r="AQ81" s="110"/>
      <c r="AR81" s="110"/>
      <c r="AS81" s="111"/>
      <c r="AT81" s="111">
        <f t="shared" si="28"/>
        <v>-24336.240000000005</v>
      </c>
      <c r="AU81" s="121"/>
      <c r="AV81" s="111"/>
      <c r="AW81" s="111"/>
      <c r="AX81" s="111"/>
      <c r="AY81" s="116"/>
      <c r="AZ81" s="172">
        <f t="shared" si="31"/>
        <v>0</v>
      </c>
      <c r="BA81" s="130">
        <v>23016.13</v>
      </c>
    </row>
    <row r="82" spans="1:53" ht="12.75">
      <c r="A82" s="1">
        <v>71</v>
      </c>
      <c r="B82" s="1" t="s">
        <v>83</v>
      </c>
      <c r="C82" s="1">
        <v>692.1</v>
      </c>
      <c r="D82" s="1">
        <v>0</v>
      </c>
      <c r="E82" s="7">
        <f t="shared" si="18"/>
        <v>692.1</v>
      </c>
      <c r="F82" s="5">
        <v>2.9</v>
      </c>
      <c r="G82" s="5">
        <v>7.85</v>
      </c>
      <c r="H82" s="5">
        <f t="shared" si="19"/>
        <v>10.75</v>
      </c>
      <c r="I82" s="28">
        <f t="shared" si="20"/>
        <v>44640.45</v>
      </c>
      <c r="J82" s="5">
        <f t="shared" si="21"/>
        <v>3.101611830899999</v>
      </c>
      <c r="K82" s="5">
        <f t="shared" si="22"/>
        <v>8.395742369849998</v>
      </c>
      <c r="L82" s="27">
        <f t="shared" si="23"/>
        <v>11.497354200749998</v>
      </c>
      <c r="M82" s="61">
        <f t="shared" si="24"/>
        <v>47743.91305403444</v>
      </c>
      <c r="N82" s="34">
        <f t="shared" si="25"/>
        <v>92384.36305403445</v>
      </c>
      <c r="O82" s="34"/>
      <c r="P82" s="34"/>
      <c r="Q82" s="5">
        <f t="shared" si="26"/>
        <v>92384.36305403445</v>
      </c>
      <c r="R82" s="30">
        <f t="shared" si="27"/>
        <v>92384.36305403445</v>
      </c>
      <c r="S82" s="1">
        <v>4045.43</v>
      </c>
      <c r="T82" s="1">
        <v>5009.01</v>
      </c>
      <c r="U82" s="1">
        <v>6101.75</v>
      </c>
      <c r="V82" s="1">
        <v>4468.87</v>
      </c>
      <c r="W82" s="1">
        <v>3855.04</v>
      </c>
      <c r="X82" s="1">
        <v>6412.24</v>
      </c>
      <c r="Y82" s="1">
        <v>3995.9</v>
      </c>
      <c r="Z82" s="1">
        <v>4235.49</v>
      </c>
      <c r="AA82" s="1">
        <v>4296.06</v>
      </c>
      <c r="AB82" s="1">
        <v>1303.53</v>
      </c>
      <c r="AC82" s="165">
        <f t="shared" si="32"/>
        <v>43723.32</v>
      </c>
      <c r="AD82" s="1">
        <v>0</v>
      </c>
      <c r="AE82" s="1">
        <v>2862.16</v>
      </c>
      <c r="AF82" s="1"/>
      <c r="AG82" s="1">
        <v>7271.26</v>
      </c>
      <c r="AH82" s="1">
        <v>0</v>
      </c>
      <c r="AI82" s="1">
        <v>7355.76</v>
      </c>
      <c r="AJ82" s="6">
        <f t="shared" si="29"/>
        <v>61212.5</v>
      </c>
      <c r="AK82" s="1"/>
      <c r="AL82" s="1"/>
      <c r="AM82" s="1"/>
      <c r="AN82" s="1"/>
      <c r="AO82" s="6">
        <f t="shared" si="30"/>
        <v>61212.5</v>
      </c>
      <c r="AP82" s="91">
        <f t="shared" si="16"/>
        <v>31171.863054034446</v>
      </c>
      <c r="AQ82" s="10">
        <v>-273.43</v>
      </c>
      <c r="AR82" s="10">
        <v>5310.46</v>
      </c>
      <c r="AS82" s="34"/>
      <c r="AT82" s="116">
        <f t="shared" si="28"/>
        <v>36208.893054034445</v>
      </c>
      <c r="AU82" s="116"/>
      <c r="AV82" s="116"/>
      <c r="AW82" s="116"/>
      <c r="AX82" s="116">
        <f>AT82+AU82-AV82-AW82</f>
        <v>36208.893054034445</v>
      </c>
      <c r="AY82" s="116">
        <v>10472.04</v>
      </c>
      <c r="AZ82" s="172">
        <f t="shared" si="31"/>
        <v>25736.853054034444</v>
      </c>
      <c r="BA82" s="130">
        <v>73977.14</v>
      </c>
    </row>
    <row r="83" spans="1:53" ht="12.75">
      <c r="A83" s="1">
        <v>72</v>
      </c>
      <c r="B83" s="1" t="s">
        <v>84</v>
      </c>
      <c r="C83" s="1">
        <v>614</v>
      </c>
      <c r="D83" s="1">
        <v>0</v>
      </c>
      <c r="E83" s="7">
        <f t="shared" si="18"/>
        <v>614</v>
      </c>
      <c r="F83" s="5">
        <v>2.9</v>
      </c>
      <c r="G83" s="5">
        <v>6.16</v>
      </c>
      <c r="H83" s="5">
        <f t="shared" si="19"/>
        <v>9.06</v>
      </c>
      <c r="I83" s="28">
        <f t="shared" si="20"/>
        <v>33377.04</v>
      </c>
      <c r="J83" s="5">
        <f t="shared" si="21"/>
        <v>3.101611830899999</v>
      </c>
      <c r="K83" s="5">
        <f t="shared" si="22"/>
        <v>6.588251337359999</v>
      </c>
      <c r="L83" s="27">
        <f t="shared" si="23"/>
        <v>9.689863168259999</v>
      </c>
      <c r="M83" s="61">
        <f t="shared" si="24"/>
        <v>35697.45591186983</v>
      </c>
      <c r="N83" s="34">
        <f t="shared" si="25"/>
        <v>69074.49591186983</v>
      </c>
      <c r="O83" s="34">
        <v>29770.95</v>
      </c>
      <c r="P83" s="34">
        <v>6112.07</v>
      </c>
      <c r="Q83" s="5">
        <f t="shared" si="26"/>
        <v>39303.545911869835</v>
      </c>
      <c r="R83" s="30">
        <f t="shared" si="27"/>
        <v>45415.615911869834</v>
      </c>
      <c r="S83" s="1">
        <v>2731.89</v>
      </c>
      <c r="T83" s="1">
        <v>2906.16</v>
      </c>
      <c r="U83" s="1">
        <v>2731.89</v>
      </c>
      <c r="V83" s="1">
        <v>10760.67</v>
      </c>
      <c r="W83" s="1">
        <v>6615.22</v>
      </c>
      <c r="X83" s="1">
        <v>2731.89</v>
      </c>
      <c r="Y83" s="1">
        <v>6332.88</v>
      </c>
      <c r="Z83" s="1">
        <v>1387.23</v>
      </c>
      <c r="AA83" s="1">
        <v>2170.39</v>
      </c>
      <c r="AB83" s="1">
        <v>2393.78</v>
      </c>
      <c r="AC83" s="165">
        <f t="shared" si="32"/>
        <v>40762</v>
      </c>
      <c r="AD83" s="1">
        <v>0</v>
      </c>
      <c r="AE83" s="1">
        <v>741.36</v>
      </c>
      <c r="AF83" s="1"/>
      <c r="AG83" s="1">
        <v>2259.86</v>
      </c>
      <c r="AH83" s="1">
        <v>0</v>
      </c>
      <c r="AI83" s="1">
        <v>1387.23</v>
      </c>
      <c r="AJ83" s="6">
        <f t="shared" si="29"/>
        <v>45150.450000000004</v>
      </c>
      <c r="AK83" s="1"/>
      <c r="AL83" s="1"/>
      <c r="AM83" s="1"/>
      <c r="AN83" s="1"/>
      <c r="AO83" s="6">
        <f t="shared" si="30"/>
        <v>45150.450000000004</v>
      </c>
      <c r="AP83" s="91">
        <f t="shared" si="16"/>
        <v>265.16591186982987</v>
      </c>
      <c r="AQ83" s="10"/>
      <c r="AR83" s="10"/>
      <c r="AS83" s="34"/>
      <c r="AT83" s="116">
        <f t="shared" si="28"/>
        <v>265.16591186982987</v>
      </c>
      <c r="AU83" s="116"/>
      <c r="AV83" s="116"/>
      <c r="AW83" s="116"/>
      <c r="AX83" s="146">
        <f>AT83+AU83-AV83-AW83</f>
        <v>265.16591186982987</v>
      </c>
      <c r="AY83" s="116">
        <v>76.69</v>
      </c>
      <c r="AZ83" s="172">
        <f t="shared" si="31"/>
        <v>188.47591186982987</v>
      </c>
      <c r="BA83" s="130">
        <v>71069.21</v>
      </c>
    </row>
    <row r="84" spans="1:54" ht="12.75">
      <c r="A84" s="1">
        <v>73</v>
      </c>
      <c r="B84" s="1" t="s">
        <v>85</v>
      </c>
      <c r="C84" s="1">
        <v>533</v>
      </c>
      <c r="D84" s="1">
        <v>0</v>
      </c>
      <c r="E84" s="7">
        <f t="shared" si="18"/>
        <v>533</v>
      </c>
      <c r="F84" s="5">
        <v>2.9</v>
      </c>
      <c r="G84" s="5">
        <v>4.64</v>
      </c>
      <c r="H84" s="5">
        <f t="shared" si="19"/>
        <v>7.539999999999999</v>
      </c>
      <c r="I84" s="28">
        <f t="shared" si="20"/>
        <v>24112.92</v>
      </c>
      <c r="J84" s="5">
        <f t="shared" si="21"/>
        <v>3.101611830899999</v>
      </c>
      <c r="K84" s="5">
        <f t="shared" si="22"/>
        <v>4.962578929439999</v>
      </c>
      <c r="L84" s="27">
        <f t="shared" si="23"/>
        <v>8.064190760339999</v>
      </c>
      <c r="M84" s="61">
        <f t="shared" si="24"/>
        <v>25789.282051567316</v>
      </c>
      <c r="N84" s="34">
        <f t="shared" si="25"/>
        <v>49902.202051567314</v>
      </c>
      <c r="O84" s="34"/>
      <c r="P84" s="34"/>
      <c r="Q84" s="5">
        <f t="shared" si="26"/>
        <v>49902.202051567314</v>
      </c>
      <c r="R84" s="30">
        <f t="shared" si="27"/>
        <v>49902.202051567314</v>
      </c>
      <c r="S84" s="1">
        <v>1158.37</v>
      </c>
      <c r="T84" s="1">
        <v>1414.44</v>
      </c>
      <c r="U84" s="1">
        <v>1158.37</v>
      </c>
      <c r="V84" s="1">
        <v>1158.37</v>
      </c>
      <c r="W84" s="1">
        <v>1158.37</v>
      </c>
      <c r="X84" s="1">
        <v>1158.37</v>
      </c>
      <c r="Y84" s="1">
        <v>2137.39</v>
      </c>
      <c r="Z84" s="1">
        <v>1227.66</v>
      </c>
      <c r="AA84" s="1">
        <v>1401.16</v>
      </c>
      <c r="AB84" s="1">
        <v>584.11</v>
      </c>
      <c r="AC84" s="165">
        <f t="shared" si="32"/>
        <v>12556.609999999999</v>
      </c>
      <c r="AD84" s="1">
        <v>0</v>
      </c>
      <c r="AE84" s="1">
        <v>2230.66</v>
      </c>
      <c r="AF84" s="1"/>
      <c r="AG84" s="1">
        <v>1227.66</v>
      </c>
      <c r="AH84" s="1">
        <v>0</v>
      </c>
      <c r="AI84" s="1">
        <v>5645</v>
      </c>
      <c r="AJ84" s="6">
        <f t="shared" si="29"/>
        <v>21659.93</v>
      </c>
      <c r="AK84" s="1"/>
      <c r="AL84" s="1"/>
      <c r="AM84" s="1"/>
      <c r="AN84" s="1"/>
      <c r="AO84" s="6">
        <f t="shared" si="30"/>
        <v>21659.93</v>
      </c>
      <c r="AP84" s="91">
        <f t="shared" si="16"/>
        <v>28242.272051567314</v>
      </c>
      <c r="AQ84" s="10">
        <v>5394.25</v>
      </c>
      <c r="AR84" s="10">
        <v>25741.29</v>
      </c>
      <c r="AS84" s="34"/>
      <c r="AT84" s="116">
        <f t="shared" si="28"/>
        <v>59377.812051567314</v>
      </c>
      <c r="AU84" s="116"/>
      <c r="AV84" s="162">
        <f>8633.52+47094</f>
        <v>55727.520000000004</v>
      </c>
      <c r="AW84" s="116"/>
      <c r="AX84" s="116">
        <f>AT84+AU84-AV84-AW84</f>
        <v>3650.2920515673104</v>
      </c>
      <c r="AY84" s="116">
        <v>1055.71</v>
      </c>
      <c r="AZ84" s="172">
        <f t="shared" si="31"/>
        <v>2594.5820515673104</v>
      </c>
      <c r="BA84" s="130">
        <v>34500.54</v>
      </c>
      <c r="BB84" s="163"/>
    </row>
    <row r="85" spans="1:53" ht="12.75" customHeight="1">
      <c r="A85" s="1">
        <v>74</v>
      </c>
      <c r="B85" s="1" t="s">
        <v>86</v>
      </c>
      <c r="C85" s="1">
        <v>358.3</v>
      </c>
      <c r="D85" s="1">
        <v>0</v>
      </c>
      <c r="E85" s="7">
        <f t="shared" si="18"/>
        <v>358.3</v>
      </c>
      <c r="F85" s="5">
        <v>2.9</v>
      </c>
      <c r="G85" s="5">
        <v>6.16</v>
      </c>
      <c r="H85" s="5">
        <f t="shared" si="19"/>
        <v>9.06</v>
      </c>
      <c r="I85" s="28">
        <f t="shared" si="20"/>
        <v>19477.188000000002</v>
      </c>
      <c r="J85" s="5">
        <f t="shared" si="21"/>
        <v>3.101611830899999</v>
      </c>
      <c r="K85" s="5">
        <f t="shared" si="22"/>
        <v>6.588251337359999</v>
      </c>
      <c r="L85" s="27">
        <f t="shared" si="23"/>
        <v>9.689863168259999</v>
      </c>
      <c r="M85" s="61">
        <f t="shared" si="24"/>
        <v>20831.267839125343</v>
      </c>
      <c r="N85" s="34">
        <f t="shared" si="25"/>
        <v>40308.455839125345</v>
      </c>
      <c r="O85" s="34">
        <v>99117.64</v>
      </c>
      <c r="P85" s="34"/>
      <c r="Q85" s="5">
        <f t="shared" si="26"/>
        <v>-58809.184160874654</v>
      </c>
      <c r="R85" s="30">
        <v>10014.36</v>
      </c>
      <c r="S85" s="1">
        <v>834.53</v>
      </c>
      <c r="T85" s="1">
        <v>13146.23</v>
      </c>
      <c r="U85" s="1">
        <v>834.53</v>
      </c>
      <c r="V85" s="1">
        <v>834.53</v>
      </c>
      <c r="W85" s="1">
        <v>834.53</v>
      </c>
      <c r="X85" s="1">
        <v>834.53</v>
      </c>
      <c r="Y85" s="1">
        <v>880.94</v>
      </c>
      <c r="Z85" s="1">
        <v>880.94</v>
      </c>
      <c r="AA85" s="1">
        <v>4227.28</v>
      </c>
      <c r="AB85" s="1">
        <v>449.89</v>
      </c>
      <c r="AC85" s="165">
        <f t="shared" si="32"/>
        <v>23757.929999999997</v>
      </c>
      <c r="AD85" s="1">
        <v>0</v>
      </c>
      <c r="AE85" s="1">
        <v>1433.08</v>
      </c>
      <c r="AF85" s="1"/>
      <c r="AG85" s="1">
        <v>880.94</v>
      </c>
      <c r="AH85" s="1">
        <v>0</v>
      </c>
      <c r="AI85" s="1">
        <v>880.94</v>
      </c>
      <c r="AJ85" s="6">
        <f t="shared" si="29"/>
        <v>26952.889999999992</v>
      </c>
      <c r="AK85" s="1"/>
      <c r="AL85" s="1"/>
      <c r="AM85" s="1"/>
      <c r="AN85" s="1"/>
      <c r="AO85" s="6">
        <f t="shared" si="30"/>
        <v>26952.889999999992</v>
      </c>
      <c r="AP85" s="136">
        <f t="shared" si="16"/>
        <v>-16938.52999999999</v>
      </c>
      <c r="AQ85" s="110"/>
      <c r="AR85" s="110"/>
      <c r="AS85" s="111"/>
      <c r="AT85" s="111">
        <f t="shared" si="28"/>
        <v>-16938.52999999999</v>
      </c>
      <c r="AU85" s="121"/>
      <c r="AV85" s="111"/>
      <c r="AW85" s="111"/>
      <c r="AX85" s="111"/>
      <c r="AY85" s="116"/>
      <c r="AZ85" s="172">
        <f t="shared" si="31"/>
        <v>0</v>
      </c>
      <c r="BA85" s="130">
        <v>125471.71</v>
      </c>
    </row>
    <row r="86" spans="1:54" ht="18.75" customHeight="1">
      <c r="A86" s="1">
        <v>75</v>
      </c>
      <c r="B86" s="1" t="s">
        <v>87</v>
      </c>
      <c r="C86" s="1">
        <v>520.4</v>
      </c>
      <c r="D86" s="1">
        <v>0</v>
      </c>
      <c r="E86" s="7">
        <f t="shared" si="18"/>
        <v>520.4</v>
      </c>
      <c r="F86" s="5">
        <v>2.9</v>
      </c>
      <c r="G86" s="5">
        <v>3.68</v>
      </c>
      <c r="H86" s="5">
        <f t="shared" si="19"/>
        <v>6.58</v>
      </c>
      <c r="I86" s="28">
        <f t="shared" si="20"/>
        <v>20545.392</v>
      </c>
      <c r="J86" s="5">
        <f t="shared" si="21"/>
        <v>3.101611830899999</v>
      </c>
      <c r="K86" s="5">
        <f t="shared" si="22"/>
        <v>3.9358384612799995</v>
      </c>
      <c r="L86" s="27">
        <f t="shared" si="23"/>
        <v>7.037450292179999</v>
      </c>
      <c r="M86" s="61">
        <f t="shared" si="24"/>
        <v>21973.73479230283</v>
      </c>
      <c r="N86" s="34">
        <f t="shared" si="25"/>
        <v>42519.12679230283</v>
      </c>
      <c r="O86" s="34"/>
      <c r="P86" s="34"/>
      <c r="Q86" s="5">
        <f t="shared" si="26"/>
        <v>42519.12679230283</v>
      </c>
      <c r="R86" s="30">
        <f t="shared" si="27"/>
        <v>42519.12679230283</v>
      </c>
      <c r="S86" s="1">
        <v>1565.82</v>
      </c>
      <c r="T86" s="1">
        <v>1823.19</v>
      </c>
      <c r="U86" s="1">
        <v>1252.12</v>
      </c>
      <c r="V86" s="1">
        <v>2906.62</v>
      </c>
      <c r="W86" s="1">
        <v>1469.21</v>
      </c>
      <c r="X86" s="1">
        <v>1135.19</v>
      </c>
      <c r="Y86" s="1">
        <v>1202.84</v>
      </c>
      <c r="Z86" s="1">
        <v>1202.84</v>
      </c>
      <c r="AA86" s="1">
        <v>1845.74</v>
      </c>
      <c r="AB86" s="1">
        <v>1217.4</v>
      </c>
      <c r="AC86" s="165">
        <f t="shared" si="32"/>
        <v>15620.97</v>
      </c>
      <c r="AD86" s="1">
        <v>0</v>
      </c>
      <c r="AE86" s="1">
        <v>1778.67</v>
      </c>
      <c r="AF86" s="1"/>
      <c r="AG86" s="1">
        <v>1547.35</v>
      </c>
      <c r="AH86" s="1">
        <v>0</v>
      </c>
      <c r="AI86" s="1">
        <v>7372.44</v>
      </c>
      <c r="AJ86" s="6">
        <f t="shared" si="29"/>
        <v>26319.429999999997</v>
      </c>
      <c r="AK86" s="1"/>
      <c r="AL86" s="1"/>
      <c r="AM86" s="1"/>
      <c r="AN86" s="1"/>
      <c r="AO86" s="6">
        <f t="shared" si="30"/>
        <v>26319.429999999997</v>
      </c>
      <c r="AP86" s="91">
        <f t="shared" si="16"/>
        <v>16199.696792302831</v>
      </c>
      <c r="AQ86" s="10">
        <v>30965.63</v>
      </c>
      <c r="AR86" s="10">
        <v>16308.88</v>
      </c>
      <c r="AS86" s="34"/>
      <c r="AT86" s="116">
        <f t="shared" si="28"/>
        <v>63474.20679230283</v>
      </c>
      <c r="AU86" s="116"/>
      <c r="AV86" s="162">
        <f>8521.56+47094</f>
        <v>55615.56</v>
      </c>
      <c r="AW86" s="116"/>
      <c r="AX86" s="116">
        <f>AT86+AU86-AV86-AW86</f>
        <v>7858.646792302832</v>
      </c>
      <c r="AY86" s="116">
        <v>2272.81</v>
      </c>
      <c r="AZ86" s="172">
        <f t="shared" si="31"/>
        <v>5585.836792302833</v>
      </c>
      <c r="BA86" s="130">
        <v>10868.27</v>
      </c>
      <c r="BB86" s="163"/>
    </row>
    <row r="87" spans="1:53" ht="12.75" customHeight="1">
      <c r="A87" s="1">
        <v>76</v>
      </c>
      <c r="B87" s="1" t="s">
        <v>88</v>
      </c>
      <c r="C87" s="1">
        <v>406.1</v>
      </c>
      <c r="D87" s="1">
        <v>0</v>
      </c>
      <c r="E87" s="7">
        <f t="shared" si="18"/>
        <v>406.1</v>
      </c>
      <c r="F87" s="5">
        <v>2.9</v>
      </c>
      <c r="G87" s="5">
        <v>6.16</v>
      </c>
      <c r="H87" s="5">
        <f t="shared" si="19"/>
        <v>9.06</v>
      </c>
      <c r="I87" s="28">
        <f t="shared" si="20"/>
        <v>22075.596000000005</v>
      </c>
      <c r="J87" s="5">
        <f t="shared" si="21"/>
        <v>3.101611830899999</v>
      </c>
      <c r="K87" s="5">
        <f t="shared" si="22"/>
        <v>6.588251337359999</v>
      </c>
      <c r="L87" s="27">
        <f t="shared" si="23"/>
        <v>9.689863168259999</v>
      </c>
      <c r="M87" s="61">
        <f t="shared" si="24"/>
        <v>23610.320595782312</v>
      </c>
      <c r="N87" s="34">
        <f t="shared" si="25"/>
        <v>45685.91659578231</v>
      </c>
      <c r="O87" s="34">
        <v>15051.39</v>
      </c>
      <c r="P87" s="34">
        <v>3515.31</v>
      </c>
      <c r="Q87" s="5">
        <f t="shared" si="26"/>
        <v>30634.526595782314</v>
      </c>
      <c r="R87" s="30">
        <f t="shared" si="27"/>
        <v>34149.83659578231</v>
      </c>
      <c r="S87" s="1">
        <v>2711.84</v>
      </c>
      <c r="T87" s="1">
        <v>13011.04</v>
      </c>
      <c r="U87" s="1">
        <v>1867.03</v>
      </c>
      <c r="V87" s="1">
        <v>1867.03</v>
      </c>
      <c r="W87" s="1">
        <v>1867.03</v>
      </c>
      <c r="X87" s="1">
        <v>1867.03</v>
      </c>
      <c r="Y87" s="1">
        <v>7112.79</v>
      </c>
      <c r="Z87" s="1">
        <v>977.67</v>
      </c>
      <c r="AA87" s="1">
        <v>977.67</v>
      </c>
      <c r="AB87" s="1">
        <v>487.33</v>
      </c>
      <c r="AC87" s="165">
        <f t="shared" si="32"/>
        <v>32746.459999999995</v>
      </c>
      <c r="AD87" s="1">
        <v>0</v>
      </c>
      <c r="AE87" s="1">
        <v>490.33</v>
      </c>
      <c r="AF87" s="1"/>
      <c r="AG87" s="1">
        <v>977.67</v>
      </c>
      <c r="AH87" s="1">
        <v>0</v>
      </c>
      <c r="AI87" s="1">
        <v>977.67</v>
      </c>
      <c r="AJ87" s="6">
        <f t="shared" si="29"/>
        <v>35192.12999999999</v>
      </c>
      <c r="AK87" s="1"/>
      <c r="AL87" s="1"/>
      <c r="AM87" s="1">
        <v>3816.67</v>
      </c>
      <c r="AN87" s="1"/>
      <c r="AO87" s="6">
        <f t="shared" si="30"/>
        <v>39008.79999999999</v>
      </c>
      <c r="AP87" s="136">
        <f t="shared" si="16"/>
        <v>-4858.963404217677</v>
      </c>
      <c r="AQ87" s="110"/>
      <c r="AR87" s="110"/>
      <c r="AS87" s="111"/>
      <c r="AT87" s="111">
        <f t="shared" si="28"/>
        <v>-4858.963404217677</v>
      </c>
      <c r="AU87" s="121"/>
      <c r="AV87" s="111"/>
      <c r="AW87" s="111"/>
      <c r="AX87" s="111"/>
      <c r="AY87" s="116"/>
      <c r="AZ87" s="172">
        <f t="shared" si="31"/>
        <v>0</v>
      </c>
      <c r="BA87" s="130">
        <v>73549.04</v>
      </c>
    </row>
    <row r="88" spans="1:53" ht="16.5" customHeight="1">
      <c r="A88" s="1">
        <v>77</v>
      </c>
      <c r="B88" s="1" t="s">
        <v>89</v>
      </c>
      <c r="C88" s="1">
        <v>526.7</v>
      </c>
      <c r="D88" s="1">
        <v>0</v>
      </c>
      <c r="E88" s="7">
        <f t="shared" si="18"/>
        <v>526.7</v>
      </c>
      <c r="F88" s="5">
        <v>2.9</v>
      </c>
      <c r="G88" s="5">
        <v>4.64</v>
      </c>
      <c r="H88" s="5">
        <f t="shared" si="19"/>
        <v>7.539999999999999</v>
      </c>
      <c r="I88" s="28">
        <f t="shared" si="20"/>
        <v>23827.908</v>
      </c>
      <c r="J88" s="5">
        <f t="shared" si="21"/>
        <v>3.101611830899999</v>
      </c>
      <c r="K88" s="5">
        <f t="shared" si="22"/>
        <v>4.962578929439999</v>
      </c>
      <c r="L88" s="27">
        <f t="shared" si="23"/>
        <v>8.064190760339999</v>
      </c>
      <c r="M88" s="61">
        <f t="shared" si="24"/>
        <v>25484.455640826465</v>
      </c>
      <c r="N88" s="34">
        <f t="shared" si="25"/>
        <v>49312.363640826465</v>
      </c>
      <c r="O88" s="34"/>
      <c r="P88" s="34"/>
      <c r="Q88" s="5">
        <f t="shared" si="26"/>
        <v>49312.363640826465</v>
      </c>
      <c r="R88" s="30">
        <f t="shared" si="27"/>
        <v>49312.363640826465</v>
      </c>
      <c r="S88" s="1">
        <v>1146.78</v>
      </c>
      <c r="T88" s="1">
        <v>1402.85</v>
      </c>
      <c r="U88" s="1">
        <v>1146.78</v>
      </c>
      <c r="V88" s="1">
        <v>1885.05</v>
      </c>
      <c r="W88" s="1">
        <v>1402.85</v>
      </c>
      <c r="X88" s="1">
        <v>1146.78</v>
      </c>
      <c r="Y88" s="1">
        <v>1215.25</v>
      </c>
      <c r="Z88" s="1">
        <v>1215.25</v>
      </c>
      <c r="AA88" s="1">
        <v>1215.25</v>
      </c>
      <c r="AB88" s="1">
        <v>579.3</v>
      </c>
      <c r="AC88" s="165">
        <f t="shared" si="32"/>
        <v>12356.14</v>
      </c>
      <c r="AD88" s="1">
        <v>0</v>
      </c>
      <c r="AE88" s="1">
        <v>1786.28</v>
      </c>
      <c r="AF88" s="1"/>
      <c r="AG88" s="1">
        <v>1215.25</v>
      </c>
      <c r="AH88" s="1">
        <v>0</v>
      </c>
      <c r="AI88" s="1">
        <v>5632.59</v>
      </c>
      <c r="AJ88" s="6">
        <f t="shared" si="29"/>
        <v>20990.260000000002</v>
      </c>
      <c r="AK88" s="1"/>
      <c r="AL88" s="1"/>
      <c r="AM88" s="1"/>
      <c r="AN88" s="1"/>
      <c r="AO88" s="6">
        <f t="shared" si="30"/>
        <v>20990.260000000002</v>
      </c>
      <c r="AP88" s="91">
        <f t="shared" si="16"/>
        <v>28322.103640826463</v>
      </c>
      <c r="AQ88" s="10">
        <v>24519.94</v>
      </c>
      <c r="AR88" s="10">
        <v>28404.34</v>
      </c>
      <c r="AS88" s="34"/>
      <c r="AT88" s="116">
        <f t="shared" si="28"/>
        <v>81246.38364082646</v>
      </c>
      <c r="AU88" s="116"/>
      <c r="AV88" s="162">
        <f>2995.14+47094</f>
        <v>50089.14</v>
      </c>
      <c r="AW88" s="116"/>
      <c r="AX88" s="116">
        <f>AT88+AU88-AV88-AW88</f>
        <v>31157.243640826462</v>
      </c>
      <c r="AY88" s="116">
        <v>9011.04</v>
      </c>
      <c r="AZ88" s="172">
        <f t="shared" si="31"/>
        <v>22146.20364082646</v>
      </c>
      <c r="BA88" s="130">
        <v>6287.09</v>
      </c>
    </row>
    <row r="89" spans="1:53" ht="12.75" customHeight="1">
      <c r="A89" s="1">
        <v>78</v>
      </c>
      <c r="B89" s="1" t="s">
        <v>90</v>
      </c>
      <c r="C89" s="1">
        <v>626.5</v>
      </c>
      <c r="D89" s="1">
        <v>0</v>
      </c>
      <c r="E89" s="7">
        <f t="shared" si="18"/>
        <v>626.5</v>
      </c>
      <c r="F89" s="5">
        <v>2.9</v>
      </c>
      <c r="G89" s="5">
        <v>6.16</v>
      </c>
      <c r="H89" s="5">
        <f t="shared" si="19"/>
        <v>9.06</v>
      </c>
      <c r="I89" s="28">
        <f t="shared" si="20"/>
        <v>34056.54</v>
      </c>
      <c r="J89" s="5">
        <f t="shared" si="21"/>
        <v>3.101611830899999</v>
      </c>
      <c r="K89" s="5">
        <f t="shared" si="22"/>
        <v>6.588251337359999</v>
      </c>
      <c r="L89" s="27">
        <f t="shared" si="23"/>
        <v>9.689863168259999</v>
      </c>
      <c r="M89" s="61">
        <f t="shared" si="24"/>
        <v>36424.19564948934</v>
      </c>
      <c r="N89" s="34">
        <f t="shared" si="25"/>
        <v>70480.73564948933</v>
      </c>
      <c r="O89" s="34">
        <v>59347.82</v>
      </c>
      <c r="P89" s="34">
        <v>8653.15</v>
      </c>
      <c r="Q89" s="5">
        <f t="shared" si="26"/>
        <v>11132.915649489332</v>
      </c>
      <c r="R89" s="30">
        <f t="shared" si="27"/>
        <v>19786.065649489334</v>
      </c>
      <c r="S89" s="1">
        <v>1508.06</v>
      </c>
      <c r="T89" s="1">
        <v>1546.76</v>
      </c>
      <c r="U89" s="1">
        <v>3154.62</v>
      </c>
      <c r="V89" s="1">
        <v>1508.06</v>
      </c>
      <c r="W89" s="1">
        <v>1508.06</v>
      </c>
      <c r="X89" s="1">
        <v>1508.06</v>
      </c>
      <c r="Y89" s="1">
        <v>1589.51</v>
      </c>
      <c r="Z89" s="1">
        <v>1589.51</v>
      </c>
      <c r="AA89" s="1">
        <v>1589.51</v>
      </c>
      <c r="AB89" s="1">
        <v>833.06</v>
      </c>
      <c r="AC89" s="165">
        <f t="shared" si="32"/>
        <v>16335.21</v>
      </c>
      <c r="AD89" s="1">
        <v>0</v>
      </c>
      <c r="AE89" s="1">
        <v>756.45</v>
      </c>
      <c r="AF89" s="1"/>
      <c r="AG89" s="1">
        <v>2662.95</v>
      </c>
      <c r="AH89" s="1">
        <v>0</v>
      </c>
      <c r="AI89" s="1">
        <v>1589.51</v>
      </c>
      <c r="AJ89" s="6">
        <f t="shared" si="29"/>
        <v>21344.12</v>
      </c>
      <c r="AK89" s="1"/>
      <c r="AL89" s="1"/>
      <c r="AM89" s="1"/>
      <c r="AN89" s="1"/>
      <c r="AO89" s="6">
        <f t="shared" si="30"/>
        <v>21344.12</v>
      </c>
      <c r="AP89" s="136">
        <f t="shared" si="16"/>
        <v>-1558.0543505106652</v>
      </c>
      <c r="AQ89" s="110"/>
      <c r="AR89" s="110"/>
      <c r="AS89" s="111"/>
      <c r="AT89" s="111">
        <f t="shared" si="28"/>
        <v>-1558.0543505106652</v>
      </c>
      <c r="AU89" s="121"/>
      <c r="AV89" s="111"/>
      <c r="AW89" s="111"/>
      <c r="AX89" s="111"/>
      <c r="AY89" s="116"/>
      <c r="AZ89" s="172">
        <f t="shared" si="31"/>
        <v>0</v>
      </c>
      <c r="BA89" s="130">
        <v>111495.19</v>
      </c>
    </row>
    <row r="90" spans="1:53" ht="16.5" customHeight="1">
      <c r="A90" s="1">
        <v>79</v>
      </c>
      <c r="B90" s="1" t="s">
        <v>91</v>
      </c>
      <c r="C90" s="1">
        <v>783.4</v>
      </c>
      <c r="D90" s="1">
        <v>0</v>
      </c>
      <c r="E90" s="7">
        <f t="shared" si="18"/>
        <v>783.4</v>
      </c>
      <c r="F90" s="5">
        <v>2.9</v>
      </c>
      <c r="G90" s="5">
        <v>2.47</v>
      </c>
      <c r="H90" s="5">
        <f t="shared" si="19"/>
        <v>5.37</v>
      </c>
      <c r="I90" s="28">
        <f t="shared" si="20"/>
        <v>25241.148</v>
      </c>
      <c r="J90" s="5">
        <f t="shared" si="21"/>
        <v>3.101611830899999</v>
      </c>
      <c r="K90" s="5">
        <f t="shared" si="22"/>
        <v>2.6417176628699996</v>
      </c>
      <c r="L90" s="27">
        <f t="shared" si="23"/>
        <v>5.743329493769998</v>
      </c>
      <c r="M90" s="61">
        <f t="shared" si="24"/>
        <v>26995.9459525165</v>
      </c>
      <c r="N90" s="34">
        <f t="shared" si="25"/>
        <v>52237.0939525165</v>
      </c>
      <c r="O90" s="34">
        <v>37755.05</v>
      </c>
      <c r="P90" s="34">
        <v>23908.78</v>
      </c>
      <c r="Q90" s="5">
        <f t="shared" si="26"/>
        <v>14482.043952516498</v>
      </c>
      <c r="R90" s="30">
        <f t="shared" si="27"/>
        <v>38390.8239525165</v>
      </c>
      <c r="S90" s="1">
        <v>1619.11</v>
      </c>
      <c r="T90" s="1">
        <v>1619.11</v>
      </c>
      <c r="U90" s="1">
        <v>4539.73</v>
      </c>
      <c r="V90" s="1">
        <v>1619.11</v>
      </c>
      <c r="W90" s="1">
        <v>1619.11</v>
      </c>
      <c r="X90" s="1">
        <v>1619.11</v>
      </c>
      <c r="Y90" s="1">
        <v>1720.95</v>
      </c>
      <c r="Z90" s="1">
        <v>1720.95</v>
      </c>
      <c r="AA90" s="1">
        <v>1720.95</v>
      </c>
      <c r="AB90" s="1">
        <v>5138.83</v>
      </c>
      <c r="AC90" s="165">
        <f t="shared" si="32"/>
        <v>22936.96</v>
      </c>
      <c r="AD90" s="1">
        <v>0</v>
      </c>
      <c r="AE90" s="1">
        <v>945.89</v>
      </c>
      <c r="AF90" s="1"/>
      <c r="AG90" s="1">
        <v>2068.54</v>
      </c>
      <c r="AH90" s="1">
        <v>0</v>
      </c>
      <c r="AI90" s="1">
        <v>1720.95</v>
      </c>
      <c r="AJ90" s="6">
        <f t="shared" si="29"/>
        <v>27672.34</v>
      </c>
      <c r="AK90" s="1"/>
      <c r="AL90" s="1"/>
      <c r="AM90" s="1"/>
      <c r="AN90" s="1"/>
      <c r="AO90" s="6">
        <f t="shared" si="30"/>
        <v>27672.34</v>
      </c>
      <c r="AP90" s="91">
        <f aca="true" t="shared" si="33" ref="AP90:AP153">R90-AO90</f>
        <v>10718.483952516497</v>
      </c>
      <c r="AQ90" s="10"/>
      <c r="AR90" s="10"/>
      <c r="AS90" s="34"/>
      <c r="AT90" s="116">
        <f t="shared" si="28"/>
        <v>10718.483952516497</v>
      </c>
      <c r="AU90" s="116"/>
      <c r="AV90" s="116"/>
      <c r="AW90" s="116"/>
      <c r="AX90" s="116">
        <f>AT90+AU90-AV90-AW90</f>
        <v>10718.483952516497</v>
      </c>
      <c r="AY90" s="116">
        <v>3099.91</v>
      </c>
      <c r="AZ90" s="172">
        <f t="shared" si="31"/>
        <v>7618.573952516497</v>
      </c>
      <c r="BA90" s="130">
        <v>207258.26</v>
      </c>
    </row>
    <row r="91" spans="1:53" ht="12.75">
      <c r="A91" s="1">
        <v>80</v>
      </c>
      <c r="B91" s="1" t="s">
        <v>92</v>
      </c>
      <c r="C91" s="1">
        <v>721.2</v>
      </c>
      <c r="D91" s="1">
        <v>72.3</v>
      </c>
      <c r="E91" s="7">
        <f t="shared" si="18"/>
        <v>793.5</v>
      </c>
      <c r="F91" s="5">
        <v>2.9</v>
      </c>
      <c r="G91" s="5">
        <v>6.98</v>
      </c>
      <c r="H91" s="5">
        <f t="shared" si="19"/>
        <v>9.88</v>
      </c>
      <c r="I91" s="28">
        <f t="shared" si="20"/>
        <v>47038.68000000001</v>
      </c>
      <c r="J91" s="5">
        <f t="shared" si="21"/>
        <v>3.101611830899999</v>
      </c>
      <c r="K91" s="5">
        <f t="shared" si="22"/>
        <v>7.465258820579999</v>
      </c>
      <c r="L91" s="27">
        <f t="shared" si="23"/>
        <v>10.566870651479999</v>
      </c>
      <c r="M91" s="61">
        <f t="shared" si="24"/>
        <v>50308.87117169627</v>
      </c>
      <c r="N91" s="34">
        <f t="shared" si="25"/>
        <v>97347.55117169628</v>
      </c>
      <c r="O91" s="34"/>
      <c r="P91" s="34"/>
      <c r="Q91" s="5">
        <f t="shared" si="26"/>
        <v>97347.55117169628</v>
      </c>
      <c r="R91" s="30">
        <f t="shared" si="27"/>
        <v>97347.55117169628</v>
      </c>
      <c r="S91" s="1">
        <v>4534.82</v>
      </c>
      <c r="T91" s="1">
        <v>3467.19</v>
      </c>
      <c r="U91" s="1">
        <v>3300.96</v>
      </c>
      <c r="V91" s="1">
        <v>3300.96</v>
      </c>
      <c r="W91" s="1">
        <v>3300.96</v>
      </c>
      <c r="X91" s="1">
        <v>3300.96</v>
      </c>
      <c r="Y91" s="1">
        <v>3531.08</v>
      </c>
      <c r="Z91" s="1">
        <v>3531.08</v>
      </c>
      <c r="AA91" s="1">
        <v>3531.08</v>
      </c>
      <c r="AB91" s="1">
        <v>1366.87</v>
      </c>
      <c r="AC91" s="165">
        <f t="shared" si="32"/>
        <v>33165.96000000001</v>
      </c>
      <c r="AD91" s="1">
        <v>0</v>
      </c>
      <c r="AE91" s="1">
        <v>2164.21</v>
      </c>
      <c r="AF91" s="1"/>
      <c r="AG91" s="1">
        <v>3531.08</v>
      </c>
      <c r="AH91" s="1">
        <v>0</v>
      </c>
      <c r="AI91" s="1">
        <v>3802.29</v>
      </c>
      <c r="AJ91" s="6">
        <f t="shared" si="29"/>
        <v>42663.54000000001</v>
      </c>
      <c r="AK91" s="1"/>
      <c r="AL91" s="1"/>
      <c r="AM91" s="1"/>
      <c r="AN91" s="1"/>
      <c r="AO91" s="6">
        <f t="shared" si="30"/>
        <v>42663.54000000001</v>
      </c>
      <c r="AP91" s="91">
        <f t="shared" si="33"/>
        <v>54684.01117169627</v>
      </c>
      <c r="AQ91" s="10">
        <v>26336.27</v>
      </c>
      <c r="AR91" s="10">
        <v>45318.3</v>
      </c>
      <c r="AS91" s="34"/>
      <c r="AT91" s="116">
        <f t="shared" si="28"/>
        <v>126338.58117169628</v>
      </c>
      <c r="AU91" s="134"/>
      <c r="AV91" s="144">
        <v>20199.78</v>
      </c>
      <c r="AW91" s="116">
        <v>292</v>
      </c>
      <c r="AX91" s="146">
        <f>AT91+AU91-AV91-AW91</f>
        <v>105846.80117169628</v>
      </c>
      <c r="AY91" s="134">
        <v>30612.14</v>
      </c>
      <c r="AZ91" s="172">
        <f t="shared" si="31"/>
        <v>75234.66117169628</v>
      </c>
      <c r="BA91" s="127">
        <v>16795.3</v>
      </c>
    </row>
    <row r="92" spans="1:53" ht="12.75" customHeight="1">
      <c r="A92" s="1">
        <v>81</v>
      </c>
      <c r="B92" s="1" t="s">
        <v>93</v>
      </c>
      <c r="C92" s="1">
        <v>782.5</v>
      </c>
      <c r="D92" s="1">
        <v>0</v>
      </c>
      <c r="E92" s="7">
        <f t="shared" si="18"/>
        <v>782.5</v>
      </c>
      <c r="F92" s="5">
        <v>2.9</v>
      </c>
      <c r="G92" s="5">
        <v>3.4</v>
      </c>
      <c r="H92" s="5">
        <f t="shared" si="19"/>
        <v>6.3</v>
      </c>
      <c r="I92" s="28">
        <f t="shared" si="20"/>
        <v>29578.5</v>
      </c>
      <c r="J92" s="5">
        <f t="shared" si="21"/>
        <v>3.101611830899999</v>
      </c>
      <c r="K92" s="5">
        <f t="shared" si="22"/>
        <v>3.6363724913999995</v>
      </c>
      <c r="L92" s="27">
        <f t="shared" si="23"/>
        <v>6.737984322299999</v>
      </c>
      <c r="M92" s="61">
        <f t="shared" si="24"/>
        <v>31634.836393198493</v>
      </c>
      <c r="N92" s="34">
        <f t="shared" si="25"/>
        <v>61213.33639319849</v>
      </c>
      <c r="O92" s="34"/>
      <c r="P92" s="34"/>
      <c r="Q92" s="5">
        <f t="shared" si="26"/>
        <v>61213.33639319849</v>
      </c>
      <c r="R92" s="30">
        <f t="shared" si="27"/>
        <v>61213.33639319849</v>
      </c>
      <c r="S92" s="1">
        <v>8996.18</v>
      </c>
      <c r="T92" s="1">
        <v>6255.94</v>
      </c>
      <c r="U92" s="1">
        <v>1693.11</v>
      </c>
      <c r="V92" s="1">
        <v>22977.65</v>
      </c>
      <c r="W92" s="1">
        <v>1693.11</v>
      </c>
      <c r="X92" s="1">
        <v>1437.04</v>
      </c>
      <c r="Y92" s="1">
        <v>26985.82</v>
      </c>
      <c r="Z92" s="1">
        <v>2737</v>
      </c>
      <c r="AA92" s="1">
        <v>1538.57</v>
      </c>
      <c r="AB92" s="1">
        <v>595.58</v>
      </c>
      <c r="AC92" s="165">
        <f t="shared" si="32"/>
        <v>74910.00000000001</v>
      </c>
      <c r="AD92" s="1">
        <v>0</v>
      </c>
      <c r="AE92" s="1">
        <v>1825.43</v>
      </c>
      <c r="AF92" s="1"/>
      <c r="AG92" s="1">
        <v>1770.48</v>
      </c>
      <c r="AH92" s="1">
        <v>0</v>
      </c>
      <c r="AI92" s="1">
        <v>2084.17</v>
      </c>
      <c r="AJ92" s="6">
        <f t="shared" si="29"/>
        <v>80590.08</v>
      </c>
      <c r="AK92" s="1"/>
      <c r="AL92" s="1"/>
      <c r="AM92" s="1"/>
      <c r="AN92" s="1"/>
      <c r="AO92" s="6">
        <f t="shared" si="30"/>
        <v>80590.08</v>
      </c>
      <c r="AP92" s="136">
        <f t="shared" si="33"/>
        <v>-19376.74360680151</v>
      </c>
      <c r="AQ92" s="110">
        <v>7808.22</v>
      </c>
      <c r="AR92" s="110">
        <v>-2934.66</v>
      </c>
      <c r="AS92" s="111"/>
      <c r="AT92" s="111">
        <f t="shared" si="28"/>
        <v>-14503.183606801507</v>
      </c>
      <c r="AU92" s="121"/>
      <c r="AV92" s="111"/>
      <c r="AW92" s="111"/>
      <c r="AX92" s="111"/>
      <c r="AY92" s="116"/>
      <c r="AZ92" s="172">
        <f t="shared" si="31"/>
        <v>0</v>
      </c>
      <c r="BA92" s="130">
        <v>32558.1</v>
      </c>
    </row>
    <row r="93" spans="1:53" ht="12.75">
      <c r="A93" s="1">
        <v>82</v>
      </c>
      <c r="B93" s="1" t="s">
        <v>94</v>
      </c>
      <c r="C93" s="1">
        <v>475.4</v>
      </c>
      <c r="D93" s="1">
        <v>0</v>
      </c>
      <c r="E93" s="7">
        <f t="shared" si="18"/>
        <v>475.4</v>
      </c>
      <c r="F93" s="5">
        <v>2.9</v>
      </c>
      <c r="G93" s="5">
        <v>6.98</v>
      </c>
      <c r="H93" s="5">
        <f t="shared" si="19"/>
        <v>9.88</v>
      </c>
      <c r="I93" s="28">
        <f t="shared" si="20"/>
        <v>28181.712</v>
      </c>
      <c r="J93" s="5">
        <f t="shared" si="21"/>
        <v>3.101611830899999</v>
      </c>
      <c r="K93" s="5">
        <f t="shared" si="22"/>
        <v>7.465258820579999</v>
      </c>
      <c r="L93" s="27">
        <f t="shared" si="23"/>
        <v>10.566870651479999</v>
      </c>
      <c r="M93" s="61">
        <f t="shared" si="24"/>
        <v>30140.94184628155</v>
      </c>
      <c r="N93" s="34">
        <f t="shared" si="25"/>
        <v>58322.65384628155</v>
      </c>
      <c r="O93" s="34"/>
      <c r="P93" s="34"/>
      <c r="Q93" s="5">
        <f t="shared" si="26"/>
        <v>58322.65384628155</v>
      </c>
      <c r="R93" s="30">
        <f t="shared" si="27"/>
        <v>58322.65384628155</v>
      </c>
      <c r="S93" s="1">
        <v>3186.51</v>
      </c>
      <c r="T93" s="1">
        <v>2143.89</v>
      </c>
      <c r="U93" s="1">
        <v>1977.66</v>
      </c>
      <c r="V93" s="1">
        <v>1977.66</v>
      </c>
      <c r="W93" s="1">
        <v>1977.66</v>
      </c>
      <c r="X93" s="1">
        <v>1977.66</v>
      </c>
      <c r="Y93" s="1">
        <v>55972.34</v>
      </c>
      <c r="Z93" s="1">
        <v>2115.53</v>
      </c>
      <c r="AA93" s="1">
        <v>2115.53</v>
      </c>
      <c r="AB93" s="1">
        <v>818.91</v>
      </c>
      <c r="AC93" s="165">
        <f t="shared" si="32"/>
        <v>74263.34999999999</v>
      </c>
      <c r="AD93" s="1">
        <v>0</v>
      </c>
      <c r="AE93" s="1">
        <v>2179.06</v>
      </c>
      <c r="AF93" s="1"/>
      <c r="AG93" s="1">
        <v>2347.44</v>
      </c>
      <c r="AH93" s="1">
        <v>0</v>
      </c>
      <c r="AI93" s="1">
        <v>2661.13</v>
      </c>
      <c r="AJ93" s="6">
        <f t="shared" si="29"/>
        <v>81450.98</v>
      </c>
      <c r="AK93" s="1"/>
      <c r="AL93" s="1"/>
      <c r="AM93" s="1"/>
      <c r="AN93" s="1"/>
      <c r="AO93" s="6">
        <f t="shared" si="30"/>
        <v>81450.98</v>
      </c>
      <c r="AP93" s="91">
        <f t="shared" si="33"/>
        <v>-23128.326153718444</v>
      </c>
      <c r="AQ93" s="10">
        <v>23381.1</v>
      </c>
      <c r="AR93" s="10">
        <v>10461.29</v>
      </c>
      <c r="AS93" s="34"/>
      <c r="AT93" s="34">
        <f t="shared" si="28"/>
        <v>10714.063846281555</v>
      </c>
      <c r="AU93" s="116">
        <v>966</v>
      </c>
      <c r="AV93" s="34"/>
      <c r="AW93" s="116"/>
      <c r="AX93" s="146">
        <f>AT93+AU93-AV93-AW93</f>
        <v>11680.063846281555</v>
      </c>
      <c r="AY93" s="116">
        <v>3378.01</v>
      </c>
      <c r="AZ93" s="172">
        <f t="shared" si="31"/>
        <v>8302.053846281555</v>
      </c>
      <c r="BA93" s="130">
        <v>97423.54</v>
      </c>
    </row>
    <row r="94" spans="1:53" ht="12.75" customHeight="1">
      <c r="A94" s="1">
        <v>83</v>
      </c>
      <c r="B94" s="1" t="s">
        <v>95</v>
      </c>
      <c r="C94" s="1">
        <v>455.1</v>
      </c>
      <c r="D94" s="1">
        <v>0</v>
      </c>
      <c r="E94" s="7">
        <f t="shared" si="18"/>
        <v>455.1</v>
      </c>
      <c r="F94" s="5">
        <v>2.9</v>
      </c>
      <c r="G94" s="5">
        <v>3.29</v>
      </c>
      <c r="H94" s="5">
        <f t="shared" si="19"/>
        <v>6.1899999999999995</v>
      </c>
      <c r="I94" s="28">
        <f t="shared" si="20"/>
        <v>16902.414</v>
      </c>
      <c r="J94" s="5">
        <f t="shared" si="21"/>
        <v>3.101611830899999</v>
      </c>
      <c r="K94" s="5">
        <f t="shared" si="22"/>
        <v>3.5187251460899995</v>
      </c>
      <c r="L94" s="27">
        <f t="shared" si="23"/>
        <v>6.620336976989998</v>
      </c>
      <c r="M94" s="61">
        <f t="shared" si="24"/>
        <v>18077.49214936889</v>
      </c>
      <c r="N94" s="34">
        <f t="shared" si="25"/>
        <v>34979.90614936889</v>
      </c>
      <c r="O94" s="34">
        <v>6765.27</v>
      </c>
      <c r="P94" s="34">
        <v>4258.7</v>
      </c>
      <c r="Q94" s="5">
        <f t="shared" si="26"/>
        <v>28214.636149368893</v>
      </c>
      <c r="R94" s="30">
        <f t="shared" si="27"/>
        <v>32473.336149368894</v>
      </c>
      <c r="S94" s="1">
        <v>875.65</v>
      </c>
      <c r="T94" s="1">
        <v>837.38</v>
      </c>
      <c r="U94" s="1">
        <v>837.38</v>
      </c>
      <c r="V94" s="1">
        <v>837.38</v>
      </c>
      <c r="W94" s="1">
        <v>837.38</v>
      </c>
      <c r="X94" s="1">
        <v>837.38</v>
      </c>
      <c r="Y94" s="1">
        <v>22681.75</v>
      </c>
      <c r="Z94" s="1">
        <v>8091.72</v>
      </c>
      <c r="AA94" s="1">
        <v>1729.29</v>
      </c>
      <c r="AB94" s="1">
        <v>1160.89</v>
      </c>
      <c r="AC94" s="165">
        <f t="shared" si="32"/>
        <v>38726.2</v>
      </c>
      <c r="AD94" s="1">
        <v>0</v>
      </c>
      <c r="AE94" s="1">
        <v>549.5</v>
      </c>
      <c r="AF94" s="1"/>
      <c r="AG94" s="1">
        <v>896.55</v>
      </c>
      <c r="AH94" s="1">
        <v>0</v>
      </c>
      <c r="AI94" s="1">
        <v>1442.15</v>
      </c>
      <c r="AJ94" s="6">
        <f t="shared" si="29"/>
        <v>41614.4</v>
      </c>
      <c r="AK94" s="1"/>
      <c r="AL94" s="1"/>
      <c r="AM94" s="1"/>
      <c r="AN94" s="1">
        <v>2848</v>
      </c>
      <c r="AO94" s="6">
        <f t="shared" si="30"/>
        <v>44462.4</v>
      </c>
      <c r="AP94" s="136">
        <f t="shared" si="33"/>
        <v>-11989.063850631108</v>
      </c>
      <c r="AQ94" s="110"/>
      <c r="AR94" s="110"/>
      <c r="AS94" s="111"/>
      <c r="AT94" s="111">
        <f t="shared" si="28"/>
        <v>-11989.063850631108</v>
      </c>
      <c r="AU94" s="133"/>
      <c r="AV94" s="111"/>
      <c r="AW94" s="111"/>
      <c r="AX94" s="111"/>
      <c r="AY94" s="134"/>
      <c r="AZ94" s="172">
        <f t="shared" si="31"/>
        <v>0</v>
      </c>
      <c r="BA94" s="127">
        <v>11541.54</v>
      </c>
    </row>
    <row r="95" spans="1:53" ht="12.75">
      <c r="A95" s="1">
        <v>84</v>
      </c>
      <c r="B95" s="1" t="s">
        <v>96</v>
      </c>
      <c r="C95" s="1">
        <v>478.8</v>
      </c>
      <c r="D95" s="1">
        <v>0</v>
      </c>
      <c r="E95" s="7">
        <f t="shared" si="18"/>
        <v>478.8</v>
      </c>
      <c r="F95" s="5">
        <v>2.9</v>
      </c>
      <c r="G95" s="5">
        <v>6.98</v>
      </c>
      <c r="H95" s="5">
        <f t="shared" si="19"/>
        <v>9.88</v>
      </c>
      <c r="I95" s="28">
        <f t="shared" si="20"/>
        <v>28383.264000000003</v>
      </c>
      <c r="J95" s="5">
        <f t="shared" si="21"/>
        <v>3.101611830899999</v>
      </c>
      <c r="K95" s="5">
        <f t="shared" si="22"/>
        <v>7.465258820579999</v>
      </c>
      <c r="L95" s="27">
        <f t="shared" si="23"/>
        <v>10.566870651479999</v>
      </c>
      <c r="M95" s="61">
        <f t="shared" si="24"/>
        <v>30356.50600757174</v>
      </c>
      <c r="N95" s="34">
        <f t="shared" si="25"/>
        <v>58739.770007571744</v>
      </c>
      <c r="O95" s="34"/>
      <c r="P95" s="34"/>
      <c r="Q95" s="5">
        <f t="shared" si="26"/>
        <v>58739.770007571744</v>
      </c>
      <c r="R95" s="30">
        <f t="shared" si="27"/>
        <v>58739.770007571744</v>
      </c>
      <c r="S95" s="1">
        <v>1991.39</v>
      </c>
      <c r="T95" s="1">
        <v>2157.62</v>
      </c>
      <c r="U95" s="1">
        <v>1991.39</v>
      </c>
      <c r="V95" s="1">
        <v>7984.97</v>
      </c>
      <c r="W95" s="1">
        <v>10375.55</v>
      </c>
      <c r="X95" s="1">
        <v>1991.39</v>
      </c>
      <c r="Y95" s="1">
        <v>2643.42</v>
      </c>
      <c r="Z95" s="1">
        <v>2130.22</v>
      </c>
      <c r="AA95" s="1">
        <v>5215.83</v>
      </c>
      <c r="AB95" s="1">
        <v>824.6</v>
      </c>
      <c r="AC95" s="165">
        <f t="shared" si="32"/>
        <v>37306.38</v>
      </c>
      <c r="AD95" s="1">
        <v>0</v>
      </c>
      <c r="AE95" s="1">
        <v>1305.62</v>
      </c>
      <c r="AF95" s="1"/>
      <c r="AG95" s="1">
        <v>2362.13</v>
      </c>
      <c r="AH95" s="1">
        <v>0</v>
      </c>
      <c r="AI95" s="1">
        <v>4203.74</v>
      </c>
      <c r="AJ95" s="6">
        <f t="shared" si="29"/>
        <v>45177.869999999995</v>
      </c>
      <c r="AK95" s="1"/>
      <c r="AL95" s="1"/>
      <c r="AM95" s="1"/>
      <c r="AN95" s="1"/>
      <c r="AO95" s="6">
        <f t="shared" si="30"/>
        <v>45177.869999999995</v>
      </c>
      <c r="AP95" s="91">
        <f t="shared" si="33"/>
        <v>13561.900007571749</v>
      </c>
      <c r="AQ95" s="10">
        <v>949.5</v>
      </c>
      <c r="AR95" s="10">
        <v>-8960.14</v>
      </c>
      <c r="AS95" s="34"/>
      <c r="AT95" s="116">
        <f t="shared" si="28"/>
        <v>5551.260007571749</v>
      </c>
      <c r="AU95" s="116"/>
      <c r="AV95" s="116"/>
      <c r="AW95" s="116"/>
      <c r="AX95" s="116">
        <f>AT95+AU95-AV95-AW95</f>
        <v>5551.260007571749</v>
      </c>
      <c r="AY95" s="116">
        <v>1605.49</v>
      </c>
      <c r="AZ95" s="172">
        <f t="shared" si="31"/>
        <v>3945.7700075717494</v>
      </c>
      <c r="BA95" s="130">
        <v>53896.78</v>
      </c>
    </row>
    <row r="96" spans="1:53" ht="12.75">
      <c r="A96" s="1">
        <v>85</v>
      </c>
      <c r="B96" s="1" t="s">
        <v>97</v>
      </c>
      <c r="C96" s="1">
        <v>784.3</v>
      </c>
      <c r="D96" s="1">
        <v>0</v>
      </c>
      <c r="E96" s="7">
        <f t="shared" si="18"/>
        <v>784.3</v>
      </c>
      <c r="F96" s="5">
        <v>2.9</v>
      </c>
      <c r="G96" s="5">
        <v>7.09</v>
      </c>
      <c r="H96" s="5">
        <f t="shared" si="19"/>
        <v>9.99</v>
      </c>
      <c r="I96" s="28">
        <f t="shared" si="20"/>
        <v>47010.942</v>
      </c>
      <c r="J96" s="5">
        <f t="shared" si="21"/>
        <v>3.101611830899999</v>
      </c>
      <c r="K96" s="5">
        <f t="shared" si="22"/>
        <v>7.582906165889998</v>
      </c>
      <c r="L96" s="27">
        <f t="shared" si="23"/>
        <v>10.684517996789998</v>
      </c>
      <c r="M96" s="61">
        <f t="shared" si="24"/>
        <v>50279.20478929437</v>
      </c>
      <c r="N96" s="34">
        <f t="shared" si="25"/>
        <v>97290.14678929438</v>
      </c>
      <c r="O96" s="34"/>
      <c r="P96" s="34"/>
      <c r="Q96" s="5">
        <f t="shared" si="26"/>
        <v>97290.14678929438</v>
      </c>
      <c r="R96" s="30">
        <f t="shared" si="27"/>
        <v>97290.14678929438</v>
      </c>
      <c r="S96" s="1">
        <v>3300.96</v>
      </c>
      <c r="T96" s="1">
        <v>3428.92</v>
      </c>
      <c r="U96" s="1">
        <v>3301.59</v>
      </c>
      <c r="V96" s="1">
        <v>3262.69</v>
      </c>
      <c r="W96" s="1">
        <v>3912.32</v>
      </c>
      <c r="X96" s="1">
        <v>13292.99</v>
      </c>
      <c r="Y96" s="1">
        <v>4823.99</v>
      </c>
      <c r="Z96" s="1">
        <v>6181.59</v>
      </c>
      <c r="AA96" s="1">
        <v>8674.19</v>
      </c>
      <c r="AB96" s="1">
        <v>1351.02</v>
      </c>
      <c r="AC96" s="165">
        <f t="shared" si="32"/>
        <v>51530.26</v>
      </c>
      <c r="AD96" s="1">
        <v>0</v>
      </c>
      <c r="AE96" s="1">
        <v>2139.12</v>
      </c>
      <c r="AF96" s="1"/>
      <c r="AG96" s="1">
        <v>7050.4</v>
      </c>
      <c r="AH96" s="1">
        <v>0</v>
      </c>
      <c r="AI96" s="1">
        <v>5563.66</v>
      </c>
      <c r="AJ96" s="6">
        <f t="shared" si="29"/>
        <v>66283.44</v>
      </c>
      <c r="AK96" s="1"/>
      <c r="AL96" s="1"/>
      <c r="AM96" s="1"/>
      <c r="AN96" s="1"/>
      <c r="AO96" s="6">
        <f t="shared" si="30"/>
        <v>66283.44</v>
      </c>
      <c r="AP96" s="91">
        <f t="shared" si="33"/>
        <v>31006.706789294374</v>
      </c>
      <c r="AQ96" s="10">
        <v>4354.48</v>
      </c>
      <c r="AR96" s="10">
        <v>-12543.49</v>
      </c>
      <c r="AS96" s="34"/>
      <c r="AT96" s="116">
        <f t="shared" si="28"/>
        <v>22817.696789294372</v>
      </c>
      <c r="AU96" s="116"/>
      <c r="AV96" s="116"/>
      <c r="AW96" s="116"/>
      <c r="AX96" s="116">
        <f>AT96+AU96-AV96-AW96</f>
        <v>22817.696789294372</v>
      </c>
      <c r="AY96" s="116">
        <v>6599.15</v>
      </c>
      <c r="AZ96" s="172">
        <f t="shared" si="31"/>
        <v>16218.546789294373</v>
      </c>
      <c r="BA96" s="130">
        <v>46018.85</v>
      </c>
    </row>
    <row r="97" spans="1:53" ht="12.75">
      <c r="A97" s="1">
        <v>86</v>
      </c>
      <c r="B97" s="1" t="s">
        <v>99</v>
      </c>
      <c r="C97" s="1">
        <v>622.5</v>
      </c>
      <c r="D97" s="1">
        <v>0</v>
      </c>
      <c r="E97" s="7">
        <f t="shared" si="18"/>
        <v>622.5</v>
      </c>
      <c r="F97" s="5">
        <v>2.9</v>
      </c>
      <c r="G97" s="5">
        <v>6.36</v>
      </c>
      <c r="H97" s="5">
        <f t="shared" si="19"/>
        <v>9.26</v>
      </c>
      <c r="I97" s="28">
        <f t="shared" si="20"/>
        <v>34586.1</v>
      </c>
      <c r="J97" s="5">
        <f t="shared" si="21"/>
        <v>3.101611830899999</v>
      </c>
      <c r="K97" s="5">
        <f t="shared" si="22"/>
        <v>6.80215560156</v>
      </c>
      <c r="L97" s="27">
        <f t="shared" si="23"/>
        <v>9.903767432459999</v>
      </c>
      <c r="M97" s="61">
        <f t="shared" si="24"/>
        <v>36990.5713602381</v>
      </c>
      <c r="N97" s="34">
        <f t="shared" si="25"/>
        <v>71576.6713602381</v>
      </c>
      <c r="O97" s="34">
        <v>41348.15</v>
      </c>
      <c r="P97" s="34"/>
      <c r="Q97" s="5">
        <f t="shared" si="26"/>
        <v>30228.521360238105</v>
      </c>
      <c r="R97" s="30">
        <f t="shared" si="27"/>
        <v>30228.521360238105</v>
      </c>
      <c r="S97" s="1">
        <v>1502.36</v>
      </c>
      <c r="T97" s="1">
        <v>1502.36</v>
      </c>
      <c r="U97" s="1">
        <v>1502.36</v>
      </c>
      <c r="V97" s="1">
        <v>1502.36</v>
      </c>
      <c r="W97" s="1">
        <v>1502.36</v>
      </c>
      <c r="X97" s="1">
        <v>1502.36</v>
      </c>
      <c r="Y97" s="1">
        <v>5211.48</v>
      </c>
      <c r="Z97" s="1">
        <v>1583.4</v>
      </c>
      <c r="AA97" s="1">
        <v>1583.4</v>
      </c>
      <c r="AB97" s="1">
        <v>2440.36</v>
      </c>
      <c r="AC97" s="165">
        <f t="shared" si="32"/>
        <v>19832.8</v>
      </c>
      <c r="AD97" s="1">
        <v>0</v>
      </c>
      <c r="AE97" s="1">
        <v>752.71</v>
      </c>
      <c r="AF97" s="1"/>
      <c r="AG97" s="1">
        <v>1871.38</v>
      </c>
      <c r="AH97" s="1">
        <v>0</v>
      </c>
      <c r="AI97" s="1">
        <v>1583.4</v>
      </c>
      <c r="AJ97" s="6">
        <f t="shared" si="29"/>
        <v>24040.29</v>
      </c>
      <c r="AK97" s="1"/>
      <c r="AL97" s="1"/>
      <c r="AM97" s="1"/>
      <c r="AN97" s="1"/>
      <c r="AO97" s="6">
        <f t="shared" si="30"/>
        <v>24040.29</v>
      </c>
      <c r="AP97" s="91">
        <f t="shared" si="33"/>
        <v>6188.231360238104</v>
      </c>
      <c r="AQ97" s="10"/>
      <c r="AR97" s="10"/>
      <c r="AS97" s="34"/>
      <c r="AT97" s="116">
        <f t="shared" si="28"/>
        <v>6188.231360238104</v>
      </c>
      <c r="AU97" s="116"/>
      <c r="AV97" s="116"/>
      <c r="AW97" s="116"/>
      <c r="AX97" s="116">
        <f>AT97+AU97-AV97-AW97</f>
        <v>6188.231360238104</v>
      </c>
      <c r="AY97" s="116">
        <v>1789.71</v>
      </c>
      <c r="AZ97" s="172">
        <f t="shared" si="31"/>
        <v>4398.521360238104</v>
      </c>
      <c r="BA97" s="130">
        <v>19911.52</v>
      </c>
    </row>
    <row r="98" spans="1:53" ht="13.5" customHeight="1">
      <c r="A98" s="1">
        <v>87</v>
      </c>
      <c r="B98" s="1" t="s">
        <v>102</v>
      </c>
      <c r="C98" s="1">
        <v>617.1</v>
      </c>
      <c r="D98" s="1">
        <v>0</v>
      </c>
      <c r="E98" s="7">
        <f t="shared" si="18"/>
        <v>617.1</v>
      </c>
      <c r="F98" s="5">
        <v>2.9</v>
      </c>
      <c r="G98" s="5">
        <v>2.47</v>
      </c>
      <c r="H98" s="5">
        <f t="shared" si="19"/>
        <v>5.37</v>
      </c>
      <c r="I98" s="28">
        <f t="shared" si="20"/>
        <v>19882.962</v>
      </c>
      <c r="J98" s="5">
        <f t="shared" si="21"/>
        <v>3.101611830899999</v>
      </c>
      <c r="K98" s="5">
        <f t="shared" si="22"/>
        <v>2.6417176628699996</v>
      </c>
      <c r="L98" s="27">
        <f t="shared" si="23"/>
        <v>5.743329493769998</v>
      </c>
      <c r="M98" s="61">
        <f t="shared" si="24"/>
        <v>21265.251783632797</v>
      </c>
      <c r="N98" s="34">
        <f t="shared" si="25"/>
        <v>41148.2137836328</v>
      </c>
      <c r="O98" s="34">
        <v>28670.27</v>
      </c>
      <c r="P98" s="34">
        <v>13264.13</v>
      </c>
      <c r="Q98" s="5">
        <f t="shared" si="26"/>
        <v>12477.943783632796</v>
      </c>
      <c r="R98" s="30">
        <f t="shared" si="27"/>
        <v>25742.073783632797</v>
      </c>
      <c r="S98" s="1">
        <v>1490.76</v>
      </c>
      <c r="T98" s="1">
        <v>1490.76</v>
      </c>
      <c r="U98" s="1">
        <v>1490.76</v>
      </c>
      <c r="V98" s="1">
        <v>1490.76</v>
      </c>
      <c r="W98" s="1">
        <v>1490.76</v>
      </c>
      <c r="X98" s="1">
        <v>1490.76</v>
      </c>
      <c r="Y98" s="1">
        <v>1570.99</v>
      </c>
      <c r="Z98" s="1">
        <v>2695.9</v>
      </c>
      <c r="AA98" s="1">
        <v>5745.41</v>
      </c>
      <c r="AB98" s="1">
        <v>2435.56</v>
      </c>
      <c r="AC98" s="165">
        <f t="shared" si="32"/>
        <v>21392.420000000002</v>
      </c>
      <c r="AD98" s="1">
        <v>0</v>
      </c>
      <c r="AE98" s="1">
        <v>745.1</v>
      </c>
      <c r="AF98" s="1"/>
      <c r="AG98" s="1">
        <v>1570.99</v>
      </c>
      <c r="AH98" s="1">
        <v>0</v>
      </c>
      <c r="AI98" s="1">
        <v>1570.99</v>
      </c>
      <c r="AJ98" s="6">
        <f t="shared" si="29"/>
        <v>25279.500000000004</v>
      </c>
      <c r="AK98" s="1"/>
      <c r="AL98" s="1"/>
      <c r="AM98" s="1"/>
      <c r="AN98" s="1"/>
      <c r="AO98" s="6">
        <f t="shared" si="30"/>
        <v>25279.500000000004</v>
      </c>
      <c r="AP98" s="91">
        <f t="shared" si="33"/>
        <v>462.5737836327935</v>
      </c>
      <c r="AQ98" s="10"/>
      <c r="AR98" s="10"/>
      <c r="AS98" s="34"/>
      <c r="AT98" s="116">
        <f t="shared" si="28"/>
        <v>462.5737836327935</v>
      </c>
      <c r="AU98" s="116"/>
      <c r="AV98" s="116"/>
      <c r="AW98" s="116"/>
      <c r="AX98" s="116">
        <f>AT98+AU98-AV98-AW98</f>
        <v>462.5737836327935</v>
      </c>
      <c r="AY98" s="116">
        <v>133.78</v>
      </c>
      <c r="AZ98" s="172">
        <f t="shared" si="31"/>
        <v>328.7937836327935</v>
      </c>
      <c r="BA98" s="130">
        <v>102840.06</v>
      </c>
    </row>
    <row r="99" spans="1:53" ht="15.75" customHeight="1">
      <c r="A99" s="1">
        <v>88</v>
      </c>
      <c r="B99" s="1" t="s">
        <v>103</v>
      </c>
      <c r="C99" s="1">
        <v>391.58</v>
      </c>
      <c r="D99" s="1">
        <v>0</v>
      </c>
      <c r="E99" s="7">
        <f t="shared" si="18"/>
        <v>391.58</v>
      </c>
      <c r="F99" s="5">
        <v>2.9</v>
      </c>
      <c r="G99" s="5">
        <v>4.79</v>
      </c>
      <c r="H99" s="5">
        <f t="shared" si="19"/>
        <v>7.6899999999999995</v>
      </c>
      <c r="I99" s="28">
        <f t="shared" si="20"/>
        <v>18067.5012</v>
      </c>
      <c r="J99" s="5">
        <f t="shared" si="21"/>
        <v>3.101611830899999</v>
      </c>
      <c r="K99" s="5">
        <f t="shared" si="22"/>
        <v>5.123007127589999</v>
      </c>
      <c r="L99" s="27">
        <f t="shared" si="23"/>
        <v>8.224618958489998</v>
      </c>
      <c r="M99" s="61">
        <f t="shared" si="24"/>
        <v>19323.577750593082</v>
      </c>
      <c r="N99" s="34">
        <f t="shared" si="25"/>
        <v>37391.07895059308</v>
      </c>
      <c r="O99" s="34">
        <v>9515.75</v>
      </c>
      <c r="P99" s="34">
        <v>10278.35</v>
      </c>
      <c r="Q99" s="5">
        <f t="shared" si="26"/>
        <v>27875.32895059308</v>
      </c>
      <c r="R99" s="30">
        <f t="shared" si="27"/>
        <v>38153.67895059308</v>
      </c>
      <c r="S99" s="1">
        <v>1806.71</v>
      </c>
      <c r="T99" s="1">
        <v>1806.71</v>
      </c>
      <c r="U99" s="1">
        <v>1806.71</v>
      </c>
      <c r="V99" s="1">
        <v>1806.71</v>
      </c>
      <c r="W99" s="1">
        <v>1806.71</v>
      </c>
      <c r="X99" s="1">
        <v>9395.41</v>
      </c>
      <c r="Y99" s="1">
        <v>23825.81</v>
      </c>
      <c r="Z99" s="1">
        <v>17721.27</v>
      </c>
      <c r="AA99" s="1">
        <v>1920.27</v>
      </c>
      <c r="AB99" s="1">
        <v>852.21</v>
      </c>
      <c r="AC99" s="165">
        <f t="shared" si="32"/>
        <v>62748.520000000004</v>
      </c>
      <c r="AD99" s="1">
        <v>0</v>
      </c>
      <c r="AE99" s="1">
        <v>1068.06</v>
      </c>
      <c r="AF99" s="1"/>
      <c r="AG99" s="1">
        <v>1920.27</v>
      </c>
      <c r="AH99" s="1">
        <v>0</v>
      </c>
      <c r="AI99" s="1">
        <v>2517.04</v>
      </c>
      <c r="AJ99" s="6">
        <f t="shared" si="29"/>
        <v>68253.89</v>
      </c>
      <c r="AK99" s="1">
        <v>2100</v>
      </c>
      <c r="AL99" s="1"/>
      <c r="AM99" s="1"/>
      <c r="AN99" s="1"/>
      <c r="AO99" s="6">
        <f t="shared" si="30"/>
        <v>70353.89</v>
      </c>
      <c r="AP99" s="136">
        <f t="shared" si="33"/>
        <v>-32200.21104940692</v>
      </c>
      <c r="AQ99" s="110"/>
      <c r="AR99" s="110"/>
      <c r="AS99" s="111"/>
      <c r="AT99" s="111">
        <f t="shared" si="28"/>
        <v>-32200.21104940692</v>
      </c>
      <c r="AU99" s="121"/>
      <c r="AV99" s="111"/>
      <c r="AW99" s="111"/>
      <c r="AX99" s="111"/>
      <c r="AY99" s="116"/>
      <c r="AZ99" s="172">
        <f t="shared" si="31"/>
        <v>0</v>
      </c>
      <c r="BA99" s="130">
        <v>99052.85</v>
      </c>
    </row>
    <row r="100" spans="1:53" ht="12.75" customHeight="1">
      <c r="A100" s="1">
        <v>89</v>
      </c>
      <c r="B100" s="1" t="s">
        <v>104</v>
      </c>
      <c r="C100" s="1">
        <v>372.1</v>
      </c>
      <c r="D100" s="1">
        <v>0</v>
      </c>
      <c r="E100" s="7">
        <f t="shared" si="18"/>
        <v>372.1</v>
      </c>
      <c r="F100" s="5">
        <v>2.9</v>
      </c>
      <c r="G100" s="5">
        <v>6.25</v>
      </c>
      <c r="H100" s="5">
        <f t="shared" si="19"/>
        <v>9.15</v>
      </c>
      <c r="I100" s="28">
        <f t="shared" si="20"/>
        <v>20428.29</v>
      </c>
      <c r="J100" s="5">
        <f t="shared" si="21"/>
        <v>3.101611830899999</v>
      </c>
      <c r="K100" s="5">
        <f t="shared" si="22"/>
        <v>6.684508256249998</v>
      </c>
      <c r="L100" s="27">
        <f t="shared" si="23"/>
        <v>9.786120087149998</v>
      </c>
      <c r="M100" s="61">
        <f t="shared" si="24"/>
        <v>21848.491706571087</v>
      </c>
      <c r="N100" s="34">
        <f t="shared" si="25"/>
        <v>42276.781706571084</v>
      </c>
      <c r="O100" s="34">
        <v>3813.1</v>
      </c>
      <c r="P100" s="34">
        <v>6047.79</v>
      </c>
      <c r="Q100" s="5">
        <f t="shared" si="26"/>
        <v>38463.681706571086</v>
      </c>
      <c r="R100" s="30">
        <f t="shared" si="27"/>
        <v>44511.47170657109</v>
      </c>
      <c r="S100" s="1">
        <v>1725.59</v>
      </c>
      <c r="T100" s="1">
        <v>1899.86</v>
      </c>
      <c r="U100" s="1">
        <v>3333.45</v>
      </c>
      <c r="V100" s="1">
        <v>10090.75</v>
      </c>
      <c r="W100" s="1">
        <v>2234.3</v>
      </c>
      <c r="X100" s="1">
        <v>2234.3</v>
      </c>
      <c r="Y100" s="1">
        <v>13059.54</v>
      </c>
      <c r="Z100" s="1">
        <v>3358.89</v>
      </c>
      <c r="AA100" s="1">
        <v>3392.76</v>
      </c>
      <c r="AB100" s="1">
        <v>1737.34</v>
      </c>
      <c r="AC100" s="165">
        <f t="shared" si="32"/>
        <v>43066.78</v>
      </c>
      <c r="AD100" s="1">
        <v>0</v>
      </c>
      <c r="AE100" s="1">
        <v>1014.87</v>
      </c>
      <c r="AF100" s="1"/>
      <c r="AG100" s="1">
        <v>17143.36</v>
      </c>
      <c r="AH100" s="1">
        <v>0</v>
      </c>
      <c r="AI100" s="1">
        <v>1833.5</v>
      </c>
      <c r="AJ100" s="6">
        <f t="shared" si="29"/>
        <v>63058.51</v>
      </c>
      <c r="AK100" s="1"/>
      <c r="AL100" s="1"/>
      <c r="AM100" s="1"/>
      <c r="AN100" s="1"/>
      <c r="AO100" s="6">
        <f t="shared" si="30"/>
        <v>63058.51</v>
      </c>
      <c r="AP100" s="136">
        <f t="shared" si="33"/>
        <v>-18547.038293428915</v>
      </c>
      <c r="AQ100" s="110"/>
      <c r="AR100" s="110"/>
      <c r="AS100" s="111"/>
      <c r="AT100" s="111">
        <f t="shared" si="28"/>
        <v>-18547.038293428915</v>
      </c>
      <c r="AU100" s="121"/>
      <c r="AV100" s="111"/>
      <c r="AW100" s="111"/>
      <c r="AX100" s="111"/>
      <c r="AY100" s="116"/>
      <c r="AZ100" s="172">
        <f t="shared" si="31"/>
        <v>0</v>
      </c>
      <c r="BA100" s="130">
        <v>72629.36</v>
      </c>
    </row>
    <row r="101" spans="1:53" ht="14.25" customHeight="1">
      <c r="A101" s="1">
        <v>90</v>
      </c>
      <c r="B101" s="1" t="s">
        <v>105</v>
      </c>
      <c r="C101" s="1">
        <v>399.5</v>
      </c>
      <c r="D101" s="1">
        <v>0</v>
      </c>
      <c r="E101" s="7">
        <f t="shared" si="18"/>
        <v>399.5</v>
      </c>
      <c r="F101" s="5">
        <v>2.9</v>
      </c>
      <c r="G101" s="5">
        <v>2.47</v>
      </c>
      <c r="H101" s="5">
        <f t="shared" si="19"/>
        <v>5.37</v>
      </c>
      <c r="I101" s="28">
        <f t="shared" si="20"/>
        <v>12871.89</v>
      </c>
      <c r="J101" s="5">
        <f t="shared" si="21"/>
        <v>3.101611830899999</v>
      </c>
      <c r="K101" s="5">
        <f t="shared" si="22"/>
        <v>2.6417176628699996</v>
      </c>
      <c r="L101" s="27">
        <f t="shared" si="23"/>
        <v>5.743329493769998</v>
      </c>
      <c r="M101" s="61">
        <f t="shared" si="24"/>
        <v>13766.760796566687</v>
      </c>
      <c r="N101" s="34">
        <f t="shared" si="25"/>
        <v>26638.650796566686</v>
      </c>
      <c r="O101" s="34">
        <v>577.01</v>
      </c>
      <c r="P101" s="34">
        <v>11199.14</v>
      </c>
      <c r="Q101" s="5">
        <f t="shared" si="26"/>
        <v>26061.640796566688</v>
      </c>
      <c r="R101" s="30">
        <f t="shared" si="27"/>
        <v>37260.78079656669</v>
      </c>
      <c r="S101" s="1">
        <v>4590.59</v>
      </c>
      <c r="T101" s="1">
        <v>735.08</v>
      </c>
      <c r="U101" s="1">
        <v>735.08</v>
      </c>
      <c r="V101" s="1">
        <v>735.08</v>
      </c>
      <c r="W101" s="1">
        <v>735.08</v>
      </c>
      <c r="X101" s="1">
        <v>735.08</v>
      </c>
      <c r="Y101" s="1">
        <v>2999.68</v>
      </c>
      <c r="Z101" s="1">
        <v>1054.27</v>
      </c>
      <c r="AA101" s="1">
        <v>787.02</v>
      </c>
      <c r="AB101" s="1">
        <v>304.65</v>
      </c>
      <c r="AC101" s="165">
        <f t="shared" si="32"/>
        <v>13411.61</v>
      </c>
      <c r="AD101" s="1">
        <v>0</v>
      </c>
      <c r="AE101" s="1">
        <v>482.36</v>
      </c>
      <c r="AF101" s="1"/>
      <c r="AG101" s="1">
        <v>787.02</v>
      </c>
      <c r="AH101" s="1">
        <v>0</v>
      </c>
      <c r="AI101" s="1">
        <v>787.02</v>
      </c>
      <c r="AJ101" s="6">
        <f t="shared" si="29"/>
        <v>15468.010000000002</v>
      </c>
      <c r="AK101" s="1"/>
      <c r="AL101" s="1"/>
      <c r="AM101" s="1"/>
      <c r="AN101" s="1"/>
      <c r="AO101" s="6">
        <f t="shared" si="30"/>
        <v>15468.010000000002</v>
      </c>
      <c r="AP101" s="91">
        <f t="shared" si="33"/>
        <v>21792.770796566685</v>
      </c>
      <c r="AQ101" s="10"/>
      <c r="AR101" s="10"/>
      <c r="AS101" s="34"/>
      <c r="AT101" s="116">
        <f t="shared" si="28"/>
        <v>21792.770796566685</v>
      </c>
      <c r="AU101" s="116"/>
      <c r="AV101" s="116"/>
      <c r="AW101" s="116"/>
      <c r="AX101" s="116">
        <f>AT101+AU101-AV101-AW101</f>
        <v>21792.770796566685</v>
      </c>
      <c r="AY101" s="116">
        <v>6302.73</v>
      </c>
      <c r="AZ101" s="172">
        <f t="shared" si="31"/>
        <v>15490.040796566685</v>
      </c>
      <c r="BA101" s="130">
        <v>178447.05</v>
      </c>
    </row>
    <row r="102" spans="1:53" ht="12.75">
      <c r="A102" s="1">
        <v>91</v>
      </c>
      <c r="B102" s="1" t="s">
        <v>106</v>
      </c>
      <c r="C102" s="1">
        <v>461.9</v>
      </c>
      <c r="D102" s="1">
        <v>0</v>
      </c>
      <c r="E102" s="7">
        <f t="shared" si="18"/>
        <v>461.9</v>
      </c>
      <c r="F102" s="5">
        <v>2.9</v>
      </c>
      <c r="G102" s="5">
        <v>6.98</v>
      </c>
      <c r="H102" s="5">
        <f t="shared" si="19"/>
        <v>9.88</v>
      </c>
      <c r="I102" s="28">
        <f t="shared" si="20"/>
        <v>27381.432</v>
      </c>
      <c r="J102" s="5">
        <f t="shared" si="21"/>
        <v>3.101611830899999</v>
      </c>
      <c r="K102" s="5">
        <f t="shared" si="22"/>
        <v>7.465258820579999</v>
      </c>
      <c r="L102" s="27">
        <f t="shared" si="23"/>
        <v>10.566870651479999</v>
      </c>
      <c r="M102" s="61">
        <f t="shared" si="24"/>
        <v>29285.025323511665</v>
      </c>
      <c r="N102" s="34">
        <f t="shared" si="25"/>
        <v>56666.45732351167</v>
      </c>
      <c r="O102" s="34"/>
      <c r="P102" s="34"/>
      <c r="Q102" s="5">
        <f t="shared" si="26"/>
        <v>56666.45732351167</v>
      </c>
      <c r="R102" s="30">
        <f t="shared" si="27"/>
        <v>56666.45732351167</v>
      </c>
      <c r="S102" s="1">
        <v>38386.54</v>
      </c>
      <c r="T102" s="1">
        <v>1917.34</v>
      </c>
      <c r="U102" s="1">
        <v>1917.34</v>
      </c>
      <c r="V102" s="1">
        <v>1917.34</v>
      </c>
      <c r="W102" s="1">
        <v>1917.34</v>
      </c>
      <c r="X102" s="1">
        <v>1917.34</v>
      </c>
      <c r="Y102" s="1">
        <v>2051.01</v>
      </c>
      <c r="Z102" s="1">
        <v>907.97</v>
      </c>
      <c r="AA102" s="1">
        <v>4471.43</v>
      </c>
      <c r="AB102" s="1">
        <v>351.47</v>
      </c>
      <c r="AC102" s="165">
        <f t="shared" si="32"/>
        <v>55755.11999999999</v>
      </c>
      <c r="AD102" s="1">
        <v>0</v>
      </c>
      <c r="AE102" s="1">
        <v>556.5</v>
      </c>
      <c r="AF102" s="1"/>
      <c r="AG102" s="1">
        <v>907.97</v>
      </c>
      <c r="AH102" s="1">
        <v>0</v>
      </c>
      <c r="AI102" s="1">
        <v>1412.48</v>
      </c>
      <c r="AJ102" s="6">
        <f t="shared" si="29"/>
        <v>58632.06999999999</v>
      </c>
      <c r="AK102" s="1">
        <v>304</v>
      </c>
      <c r="AL102" s="1"/>
      <c r="AM102" s="1"/>
      <c r="AN102" s="1"/>
      <c r="AO102" s="6">
        <f t="shared" si="30"/>
        <v>58936.06999999999</v>
      </c>
      <c r="AP102" s="91">
        <f t="shared" si="33"/>
        <v>-2269.612676488323</v>
      </c>
      <c r="AQ102" s="10">
        <v>12647.9</v>
      </c>
      <c r="AR102" s="10">
        <v>812.37</v>
      </c>
      <c r="AS102" s="34"/>
      <c r="AT102" s="34">
        <f t="shared" si="28"/>
        <v>11190.657323511678</v>
      </c>
      <c r="AU102" s="134"/>
      <c r="AV102" s="122">
        <v>9219</v>
      </c>
      <c r="AW102" s="116"/>
      <c r="AX102" s="116">
        <f>AT102+AU102-AV102-AW102</f>
        <v>1971.6573235116775</v>
      </c>
      <c r="AY102" s="134">
        <v>570.23</v>
      </c>
      <c r="AZ102" s="172">
        <f t="shared" si="31"/>
        <v>1401.4273235116775</v>
      </c>
      <c r="BA102" s="127">
        <v>6245.22</v>
      </c>
    </row>
    <row r="103" spans="1:53" ht="12.75">
      <c r="A103" s="1">
        <v>92</v>
      </c>
      <c r="B103" s="1" t="s">
        <v>107</v>
      </c>
      <c r="C103" s="1">
        <v>401.9</v>
      </c>
      <c r="D103" s="1">
        <v>0</v>
      </c>
      <c r="E103" s="7">
        <f t="shared" si="18"/>
        <v>401.9</v>
      </c>
      <c r="F103" s="5">
        <v>2.9</v>
      </c>
      <c r="G103" s="5">
        <v>6.16</v>
      </c>
      <c r="H103" s="5">
        <f t="shared" si="19"/>
        <v>9.06</v>
      </c>
      <c r="I103" s="28">
        <f t="shared" si="20"/>
        <v>21847.284</v>
      </c>
      <c r="J103" s="5">
        <f t="shared" si="21"/>
        <v>3.101611830899999</v>
      </c>
      <c r="K103" s="5">
        <f t="shared" si="22"/>
        <v>6.588251337359999</v>
      </c>
      <c r="L103" s="27">
        <f t="shared" si="23"/>
        <v>9.689863168259999</v>
      </c>
      <c r="M103" s="61">
        <f t="shared" si="24"/>
        <v>23366.13604394216</v>
      </c>
      <c r="N103" s="34">
        <f t="shared" si="25"/>
        <v>45213.420043942155</v>
      </c>
      <c r="O103" s="34">
        <v>9961.81</v>
      </c>
      <c r="P103" s="34"/>
      <c r="Q103" s="5">
        <f t="shared" si="26"/>
        <v>35251.61004394216</v>
      </c>
      <c r="R103" s="30">
        <f t="shared" si="27"/>
        <v>35251.61004394216</v>
      </c>
      <c r="S103" s="1">
        <v>1849.55</v>
      </c>
      <c r="T103" s="1">
        <v>2015.78</v>
      </c>
      <c r="U103" s="1">
        <v>1849.55</v>
      </c>
      <c r="V103" s="1">
        <v>1849.55</v>
      </c>
      <c r="W103" s="1">
        <v>1849.55</v>
      </c>
      <c r="X103" s="1">
        <v>1849.55</v>
      </c>
      <c r="Y103" s="1">
        <v>2455.61</v>
      </c>
      <c r="Z103" s="1">
        <v>6380.25</v>
      </c>
      <c r="AA103" s="1">
        <v>1966.11</v>
      </c>
      <c r="AB103" s="1">
        <v>869.96</v>
      </c>
      <c r="AC103" s="165">
        <f t="shared" si="32"/>
        <v>22935.46</v>
      </c>
      <c r="AD103" s="1">
        <v>0</v>
      </c>
      <c r="AE103" s="1">
        <v>1096.15</v>
      </c>
      <c r="AF103" s="1"/>
      <c r="AG103" s="1">
        <v>1966.11</v>
      </c>
      <c r="AH103" s="1">
        <v>0</v>
      </c>
      <c r="AI103" s="1">
        <v>2949.82</v>
      </c>
      <c r="AJ103" s="6">
        <f t="shared" si="29"/>
        <v>28947.54</v>
      </c>
      <c r="AK103" s="1"/>
      <c r="AL103" s="1"/>
      <c r="AM103" s="1"/>
      <c r="AN103" s="1"/>
      <c r="AO103" s="6">
        <f t="shared" si="30"/>
        <v>28947.54</v>
      </c>
      <c r="AP103" s="91">
        <f t="shared" si="33"/>
        <v>6304.070043942156</v>
      </c>
      <c r="AQ103" s="10"/>
      <c r="AR103" s="10"/>
      <c r="AS103" s="34"/>
      <c r="AT103" s="116">
        <f t="shared" si="28"/>
        <v>6304.070043942156</v>
      </c>
      <c r="AU103" s="116"/>
      <c r="AV103" s="116"/>
      <c r="AW103" s="116"/>
      <c r="AX103" s="116">
        <f>AT103+AU103-AV103-AW103</f>
        <v>6304.070043942156</v>
      </c>
      <c r="AY103" s="116">
        <v>1823.21</v>
      </c>
      <c r="AZ103" s="172">
        <f t="shared" si="31"/>
        <v>4480.860043942156</v>
      </c>
      <c r="BA103" s="130">
        <v>34492.29</v>
      </c>
    </row>
    <row r="104" spans="1:53" ht="12.75">
      <c r="A104" s="1">
        <v>93</v>
      </c>
      <c r="B104" s="1" t="s">
        <v>108</v>
      </c>
      <c r="C104" s="1">
        <v>461.4</v>
      </c>
      <c r="D104" s="1">
        <v>0</v>
      </c>
      <c r="E104" s="7">
        <f t="shared" si="18"/>
        <v>461.4</v>
      </c>
      <c r="F104" s="5">
        <v>2.9</v>
      </c>
      <c r="G104" s="5">
        <v>6.98</v>
      </c>
      <c r="H104" s="5">
        <f t="shared" si="19"/>
        <v>9.88</v>
      </c>
      <c r="I104" s="28">
        <f t="shared" si="20"/>
        <v>27351.792</v>
      </c>
      <c r="J104" s="5">
        <f t="shared" si="21"/>
        <v>3.101611830899999</v>
      </c>
      <c r="K104" s="5">
        <f t="shared" si="22"/>
        <v>7.465258820579999</v>
      </c>
      <c r="L104" s="27">
        <f t="shared" si="23"/>
        <v>10.566870651479999</v>
      </c>
      <c r="M104" s="61">
        <f t="shared" si="24"/>
        <v>29253.32471155723</v>
      </c>
      <c r="N104" s="34">
        <f t="shared" si="25"/>
        <v>56605.11671155723</v>
      </c>
      <c r="O104" s="34"/>
      <c r="P104" s="34"/>
      <c r="Q104" s="5">
        <f t="shared" si="26"/>
        <v>56605.11671155723</v>
      </c>
      <c r="R104" s="30">
        <f t="shared" si="27"/>
        <v>56605.11671155723</v>
      </c>
      <c r="S104" s="1">
        <v>4877.34</v>
      </c>
      <c r="T104" s="1">
        <v>2175.49</v>
      </c>
      <c r="U104" s="1">
        <v>1919.42</v>
      </c>
      <c r="V104" s="1">
        <v>1919.42</v>
      </c>
      <c r="W104" s="1">
        <v>12292.5</v>
      </c>
      <c r="X104" s="1">
        <v>2100.95</v>
      </c>
      <c r="Y104" s="1">
        <v>2652.61</v>
      </c>
      <c r="Z104" s="1">
        <v>4101.69</v>
      </c>
      <c r="AA104" s="1">
        <v>2053.23</v>
      </c>
      <c r="AB104" s="1">
        <v>4233.86</v>
      </c>
      <c r="AC104" s="165">
        <f t="shared" si="32"/>
        <v>38326.51</v>
      </c>
      <c r="AD104" s="1">
        <v>0</v>
      </c>
      <c r="AE104" s="1">
        <v>1258.43</v>
      </c>
      <c r="AF104" s="1"/>
      <c r="AG104" s="1">
        <v>2053.23</v>
      </c>
      <c r="AH104" s="1">
        <v>0</v>
      </c>
      <c r="AI104" s="1">
        <v>2053.23</v>
      </c>
      <c r="AJ104" s="6">
        <f t="shared" si="29"/>
        <v>43691.40000000001</v>
      </c>
      <c r="AK104" s="1"/>
      <c r="AL104" s="1"/>
      <c r="AM104" s="1"/>
      <c r="AN104" s="1"/>
      <c r="AO104" s="6">
        <f t="shared" si="30"/>
        <v>43691.40000000001</v>
      </c>
      <c r="AP104" s="91">
        <f t="shared" si="33"/>
        <v>12913.716711557223</v>
      </c>
      <c r="AQ104" s="10">
        <v>-2152.43</v>
      </c>
      <c r="AR104" s="10">
        <v>6764.24</v>
      </c>
      <c r="AS104" s="34"/>
      <c r="AT104" s="116">
        <f t="shared" si="28"/>
        <v>17525.52671155722</v>
      </c>
      <c r="AU104" s="134"/>
      <c r="AV104" s="116"/>
      <c r="AW104" s="116"/>
      <c r="AX104" s="116">
        <f>AT104+AU104-AV104-AW104</f>
        <v>17525.52671155722</v>
      </c>
      <c r="AY104" s="134">
        <v>5068.59</v>
      </c>
      <c r="AZ104" s="172">
        <f t="shared" si="31"/>
        <v>12456.93671155722</v>
      </c>
      <c r="BA104" s="127">
        <v>6703.59</v>
      </c>
    </row>
    <row r="105" spans="1:53" ht="12.75">
      <c r="A105" s="1">
        <v>94</v>
      </c>
      <c r="B105" s="1" t="s">
        <v>109</v>
      </c>
      <c r="C105" s="1">
        <v>571.6</v>
      </c>
      <c r="D105" s="1">
        <v>0</v>
      </c>
      <c r="E105" s="7">
        <f t="shared" si="18"/>
        <v>571.6</v>
      </c>
      <c r="F105" s="5">
        <v>2.9</v>
      </c>
      <c r="G105" s="5">
        <v>5.96</v>
      </c>
      <c r="H105" s="5">
        <f t="shared" si="19"/>
        <v>8.86</v>
      </c>
      <c r="I105" s="28">
        <f t="shared" si="20"/>
        <v>30386.256</v>
      </c>
      <c r="J105" s="5">
        <f t="shared" si="21"/>
        <v>3.101611830899999</v>
      </c>
      <c r="K105" s="5">
        <f t="shared" si="22"/>
        <v>6.374347073159999</v>
      </c>
      <c r="L105" s="27">
        <f t="shared" si="23"/>
        <v>9.475958904059999</v>
      </c>
      <c r="M105" s="61">
        <f t="shared" si="24"/>
        <v>32498.748657364173</v>
      </c>
      <c r="N105" s="34">
        <f t="shared" si="25"/>
        <v>62885.004657364174</v>
      </c>
      <c r="O105" s="34">
        <v>42757.52</v>
      </c>
      <c r="P105" s="34"/>
      <c r="Q105" s="5">
        <f t="shared" si="26"/>
        <v>20127.484657364177</v>
      </c>
      <c r="R105" s="30">
        <f t="shared" si="27"/>
        <v>20127.484657364177</v>
      </c>
      <c r="S105" s="1">
        <v>1051.19</v>
      </c>
      <c r="T105" s="1">
        <v>1051.19</v>
      </c>
      <c r="U105" s="1">
        <v>1051.19</v>
      </c>
      <c r="V105" s="1">
        <v>1051.19</v>
      </c>
      <c r="W105" s="1">
        <v>1051.19</v>
      </c>
      <c r="X105" s="1">
        <v>1051.19</v>
      </c>
      <c r="Y105" s="1">
        <v>1125.46</v>
      </c>
      <c r="Z105" s="1">
        <v>1354.7</v>
      </c>
      <c r="AA105" s="1">
        <v>1125.46</v>
      </c>
      <c r="AB105" s="1">
        <v>435.66</v>
      </c>
      <c r="AC105" s="165">
        <f t="shared" si="32"/>
        <v>10348.420000000002</v>
      </c>
      <c r="AD105" s="1">
        <v>0</v>
      </c>
      <c r="AE105" s="1">
        <v>689.8</v>
      </c>
      <c r="AF105" s="1"/>
      <c r="AG105" s="1">
        <v>1883.86</v>
      </c>
      <c r="AH105" s="1">
        <v>0</v>
      </c>
      <c r="AI105" s="1">
        <v>1125.46</v>
      </c>
      <c r="AJ105" s="6">
        <f t="shared" si="29"/>
        <v>14047.54</v>
      </c>
      <c r="AK105" s="1"/>
      <c r="AL105" s="1"/>
      <c r="AM105" s="1"/>
      <c r="AN105" s="1"/>
      <c r="AO105" s="6">
        <f t="shared" si="30"/>
        <v>14047.54</v>
      </c>
      <c r="AP105" s="91">
        <f t="shared" si="33"/>
        <v>6079.944657364176</v>
      </c>
      <c r="AQ105" s="10"/>
      <c r="AR105" s="10"/>
      <c r="AS105" s="34"/>
      <c r="AT105" s="116">
        <f t="shared" si="28"/>
        <v>6079.944657364176</v>
      </c>
      <c r="AU105" s="116"/>
      <c r="AV105" s="116"/>
      <c r="AW105" s="116"/>
      <c r="AX105" s="116">
        <f>AT105+AU105-AV105-AW105</f>
        <v>6079.944657364176</v>
      </c>
      <c r="AY105" s="116">
        <v>1758.39</v>
      </c>
      <c r="AZ105" s="172">
        <f t="shared" si="31"/>
        <v>4321.554657364176</v>
      </c>
      <c r="BA105" s="130">
        <v>132045.94</v>
      </c>
    </row>
    <row r="106" spans="1:53" ht="12.75" customHeight="1">
      <c r="A106" s="1">
        <v>95</v>
      </c>
      <c r="B106" s="1" t="s">
        <v>110</v>
      </c>
      <c r="C106" s="1">
        <v>490</v>
      </c>
      <c r="D106" s="1">
        <v>0</v>
      </c>
      <c r="E106" s="7">
        <f t="shared" si="18"/>
        <v>490</v>
      </c>
      <c r="F106" s="5">
        <v>2.9</v>
      </c>
      <c r="G106" s="5">
        <v>6.98</v>
      </c>
      <c r="H106" s="5">
        <f t="shared" si="19"/>
        <v>9.88</v>
      </c>
      <c r="I106" s="28">
        <f t="shared" si="20"/>
        <v>29047.200000000004</v>
      </c>
      <c r="J106" s="5">
        <f t="shared" si="21"/>
        <v>3.101611830899999</v>
      </c>
      <c r="K106" s="5">
        <f t="shared" si="22"/>
        <v>7.465258820579999</v>
      </c>
      <c r="L106" s="27">
        <f t="shared" si="23"/>
        <v>10.566870651479999</v>
      </c>
      <c r="M106" s="61">
        <f t="shared" si="24"/>
        <v>31066.599715351193</v>
      </c>
      <c r="N106" s="34">
        <f t="shared" si="25"/>
        <v>60113.7997153512</v>
      </c>
      <c r="O106" s="34">
        <v>41185.65</v>
      </c>
      <c r="P106" s="34">
        <v>5119.2</v>
      </c>
      <c r="Q106" s="5">
        <f t="shared" si="26"/>
        <v>18928.149715351195</v>
      </c>
      <c r="R106" s="30">
        <f t="shared" si="27"/>
        <v>24047.349715351196</v>
      </c>
      <c r="S106" s="1">
        <v>1868.31</v>
      </c>
      <c r="T106" s="1">
        <v>7523.38</v>
      </c>
      <c r="U106" s="1">
        <v>7896.51</v>
      </c>
      <c r="V106" s="1">
        <v>1079.25</v>
      </c>
      <c r="W106" s="1">
        <v>1079.25</v>
      </c>
      <c r="X106" s="1">
        <v>6361.19</v>
      </c>
      <c r="Y106" s="1">
        <v>1142.95</v>
      </c>
      <c r="Z106" s="1">
        <v>1142.95</v>
      </c>
      <c r="AA106" s="1">
        <v>16679.66</v>
      </c>
      <c r="AB106" s="1">
        <v>551.31</v>
      </c>
      <c r="AC106" s="165">
        <f t="shared" si="32"/>
        <v>45324.759999999995</v>
      </c>
      <c r="AD106" s="1">
        <v>0</v>
      </c>
      <c r="AE106" s="1">
        <v>1255.38</v>
      </c>
      <c r="AF106" s="1"/>
      <c r="AG106" s="1">
        <v>1142.95</v>
      </c>
      <c r="AH106" s="1">
        <v>0</v>
      </c>
      <c r="AI106" s="1">
        <v>1142.95</v>
      </c>
      <c r="AJ106" s="6">
        <f t="shared" si="29"/>
        <v>48866.039999999986</v>
      </c>
      <c r="AK106" s="1">
        <f>3048+500+400+530+418</f>
        <v>4896</v>
      </c>
      <c r="AL106" s="1"/>
      <c r="AM106" s="1"/>
      <c r="AN106" s="1"/>
      <c r="AO106" s="6">
        <f t="shared" si="30"/>
        <v>53762.039999999986</v>
      </c>
      <c r="AP106" s="136">
        <f t="shared" si="33"/>
        <v>-29714.69028464879</v>
      </c>
      <c r="AQ106" s="110"/>
      <c r="AR106" s="110"/>
      <c r="AS106" s="111"/>
      <c r="AT106" s="111">
        <f t="shared" si="28"/>
        <v>-29714.69028464879</v>
      </c>
      <c r="AU106" s="121"/>
      <c r="AV106" s="111"/>
      <c r="AW106" s="111"/>
      <c r="AX106" s="111"/>
      <c r="AY106" s="116"/>
      <c r="AZ106" s="172">
        <f t="shared" si="31"/>
        <v>0</v>
      </c>
      <c r="BA106" s="130">
        <v>99585.26</v>
      </c>
    </row>
    <row r="107" spans="1:53" ht="12.75">
      <c r="A107" s="1">
        <v>96</v>
      </c>
      <c r="B107" s="84" t="s">
        <v>111</v>
      </c>
      <c r="C107" s="1">
        <v>6179.3</v>
      </c>
      <c r="D107" s="1">
        <v>0</v>
      </c>
      <c r="E107" s="7">
        <f t="shared" si="18"/>
        <v>6179.3</v>
      </c>
      <c r="F107" s="5">
        <v>2.9</v>
      </c>
      <c r="G107" s="5">
        <v>7.85</v>
      </c>
      <c r="H107" s="5">
        <f t="shared" si="19"/>
        <v>10.75</v>
      </c>
      <c r="I107" s="28">
        <f t="shared" si="20"/>
        <v>398564.85000000003</v>
      </c>
      <c r="J107" s="5">
        <f t="shared" si="21"/>
        <v>3.101611830899999</v>
      </c>
      <c r="K107" s="5">
        <f t="shared" si="22"/>
        <v>8.395742369849998</v>
      </c>
      <c r="L107" s="27">
        <f t="shared" si="23"/>
        <v>11.497354200749998</v>
      </c>
      <c r="M107" s="61">
        <f t="shared" si="24"/>
        <v>426273.6048761668</v>
      </c>
      <c r="N107" s="34">
        <f t="shared" si="25"/>
        <v>824838.4548761668</v>
      </c>
      <c r="O107" s="34">
        <v>256321.99</v>
      </c>
      <c r="P107" s="34"/>
      <c r="Q107" s="5">
        <f t="shared" si="26"/>
        <v>568516.4648761668</v>
      </c>
      <c r="R107" s="30">
        <f t="shared" si="27"/>
        <v>568516.4648761668</v>
      </c>
      <c r="S107" s="1">
        <v>45237.4</v>
      </c>
      <c r="T107" s="1">
        <v>88681.13</v>
      </c>
      <c r="U107" s="1">
        <v>49166.13</v>
      </c>
      <c r="V107" s="1">
        <v>113321.27</v>
      </c>
      <c r="W107" s="1">
        <v>37897.25</v>
      </c>
      <c r="X107" s="1">
        <v>49502.6</v>
      </c>
      <c r="Y107" s="1">
        <v>56838.11</v>
      </c>
      <c r="Z107" s="1">
        <v>78179.29</v>
      </c>
      <c r="AA107" s="1">
        <v>39687.49</v>
      </c>
      <c r="AB107" s="1">
        <v>14534.89</v>
      </c>
      <c r="AC107" s="165">
        <f t="shared" si="32"/>
        <v>573045.5599999999</v>
      </c>
      <c r="AD107" s="1">
        <v>10071.52</v>
      </c>
      <c r="AE107" s="1">
        <v>13891.52</v>
      </c>
      <c r="AF107" s="1">
        <v>28525.68</v>
      </c>
      <c r="AG107" s="1">
        <v>28315.29</v>
      </c>
      <c r="AH107" s="1">
        <v>21096.22</v>
      </c>
      <c r="AI107" s="1">
        <v>40373.8</v>
      </c>
      <c r="AJ107" s="6">
        <f t="shared" si="29"/>
        <v>715319.5900000001</v>
      </c>
      <c r="AK107" s="1"/>
      <c r="AL107" s="1"/>
      <c r="AM107" s="1"/>
      <c r="AN107" s="95">
        <v>35629</v>
      </c>
      <c r="AO107" s="6">
        <f t="shared" si="30"/>
        <v>750948.5900000001</v>
      </c>
      <c r="AP107" s="136">
        <f t="shared" si="33"/>
        <v>-182432.1251238333</v>
      </c>
      <c r="AQ107" s="110"/>
      <c r="AR107" s="110"/>
      <c r="AS107" s="111"/>
      <c r="AT107" s="111">
        <f t="shared" si="28"/>
        <v>-182432.1251238333</v>
      </c>
      <c r="AU107" s="121">
        <v>7725</v>
      </c>
      <c r="AV107" s="111"/>
      <c r="AW107" s="111"/>
      <c r="AX107" s="147">
        <f>AU107-AV107</f>
        <v>7725</v>
      </c>
      <c r="AY107" s="116">
        <v>2234.16</v>
      </c>
      <c r="AZ107" s="172">
        <f t="shared" si="31"/>
        <v>5490.84</v>
      </c>
      <c r="BA107" s="130">
        <v>128103.58</v>
      </c>
    </row>
    <row r="108" spans="1:53" ht="12.75">
      <c r="A108" s="1">
        <v>97</v>
      </c>
      <c r="B108" s="1" t="s">
        <v>112</v>
      </c>
      <c r="C108" s="1">
        <v>406.9</v>
      </c>
      <c r="D108" s="1">
        <v>0</v>
      </c>
      <c r="E108" s="7">
        <f t="shared" si="18"/>
        <v>406.9</v>
      </c>
      <c r="F108" s="5">
        <v>2.9</v>
      </c>
      <c r="G108" s="5">
        <v>6.16</v>
      </c>
      <c r="H108" s="5">
        <f t="shared" si="19"/>
        <v>9.06</v>
      </c>
      <c r="I108" s="28">
        <f t="shared" si="20"/>
        <v>22119.084000000003</v>
      </c>
      <c r="J108" s="5">
        <f t="shared" si="21"/>
        <v>3.101611830899999</v>
      </c>
      <c r="K108" s="5">
        <f t="shared" si="22"/>
        <v>6.588251337359999</v>
      </c>
      <c r="L108" s="27">
        <f t="shared" si="23"/>
        <v>9.689863168259999</v>
      </c>
      <c r="M108" s="61">
        <f t="shared" si="24"/>
        <v>23656.83193898996</v>
      </c>
      <c r="N108" s="34">
        <f t="shared" si="25"/>
        <v>45775.91593898996</v>
      </c>
      <c r="O108" s="34"/>
      <c r="P108" s="34"/>
      <c r="Q108" s="5">
        <f t="shared" si="26"/>
        <v>45775.91593898996</v>
      </c>
      <c r="R108" s="30">
        <f t="shared" si="27"/>
        <v>45775.91593898996</v>
      </c>
      <c r="S108" s="1">
        <v>1692.7</v>
      </c>
      <c r="T108" s="1">
        <v>1897.63</v>
      </c>
      <c r="U108" s="1">
        <v>1692.7</v>
      </c>
      <c r="V108" s="1">
        <v>1692.7</v>
      </c>
      <c r="W108" s="1">
        <v>1692.7</v>
      </c>
      <c r="X108" s="1">
        <v>1692.7</v>
      </c>
      <c r="Y108" s="1">
        <v>2300.21</v>
      </c>
      <c r="Z108" s="1">
        <v>2077.96</v>
      </c>
      <c r="AA108" s="1">
        <v>1810.71</v>
      </c>
      <c r="AB108" s="1">
        <v>700.92</v>
      </c>
      <c r="AC108" s="165">
        <f t="shared" si="32"/>
        <v>17250.929999999997</v>
      </c>
      <c r="AD108" s="1">
        <v>0</v>
      </c>
      <c r="AE108" s="1">
        <v>1109.79</v>
      </c>
      <c r="AF108" s="1"/>
      <c r="AG108" s="1">
        <v>1810.71</v>
      </c>
      <c r="AH108" s="1">
        <v>0</v>
      </c>
      <c r="AI108" s="1">
        <v>3345.06</v>
      </c>
      <c r="AJ108" s="6">
        <f t="shared" si="29"/>
        <v>23516.489999999998</v>
      </c>
      <c r="AK108" s="1"/>
      <c r="AL108" s="1"/>
      <c r="AM108" s="1"/>
      <c r="AN108" s="1"/>
      <c r="AO108" s="6">
        <f t="shared" si="30"/>
        <v>23516.489999999998</v>
      </c>
      <c r="AP108" s="91">
        <f t="shared" si="33"/>
        <v>22259.42593898996</v>
      </c>
      <c r="AQ108" s="10">
        <v>14373.28</v>
      </c>
      <c r="AR108" s="10">
        <v>1996.49</v>
      </c>
      <c r="AS108" s="34"/>
      <c r="AT108" s="116">
        <f t="shared" si="28"/>
        <v>38629.19593898996</v>
      </c>
      <c r="AU108" s="116">
        <v>2708</v>
      </c>
      <c r="AV108" s="116"/>
      <c r="AW108" s="116"/>
      <c r="AX108" s="116">
        <f>AT108+AU108-AV108-AW108</f>
        <v>41337.19593898996</v>
      </c>
      <c r="AY108" s="116">
        <v>11955.21</v>
      </c>
      <c r="AZ108" s="172">
        <f t="shared" si="31"/>
        <v>29381.985938989958</v>
      </c>
      <c r="BA108" s="130">
        <v>87634.27</v>
      </c>
    </row>
    <row r="109" spans="1:53" ht="12.75">
      <c r="A109" s="1">
        <v>98</v>
      </c>
      <c r="B109" s="1" t="s">
        <v>113</v>
      </c>
      <c r="C109" s="1">
        <v>411</v>
      </c>
      <c r="D109" s="1">
        <v>0</v>
      </c>
      <c r="E109" s="7">
        <f t="shared" si="18"/>
        <v>411</v>
      </c>
      <c r="F109" s="5">
        <v>2.9</v>
      </c>
      <c r="G109" s="5">
        <v>5.96</v>
      </c>
      <c r="H109" s="5">
        <f t="shared" si="19"/>
        <v>8.86</v>
      </c>
      <c r="I109" s="28">
        <f t="shared" si="20"/>
        <v>21848.76</v>
      </c>
      <c r="J109" s="5">
        <f t="shared" si="21"/>
        <v>3.101611830899999</v>
      </c>
      <c r="K109" s="5">
        <f t="shared" si="22"/>
        <v>6.374347073159999</v>
      </c>
      <c r="L109" s="27">
        <f t="shared" si="23"/>
        <v>9.475958904059999</v>
      </c>
      <c r="M109" s="61">
        <f t="shared" si="24"/>
        <v>23367.714657411958</v>
      </c>
      <c r="N109" s="34">
        <f t="shared" si="25"/>
        <v>45216.474657411956</v>
      </c>
      <c r="O109" s="34">
        <v>47716.24</v>
      </c>
      <c r="P109" s="34">
        <v>15016.97</v>
      </c>
      <c r="Q109" s="5">
        <f t="shared" si="26"/>
        <v>-2499.7653425880417</v>
      </c>
      <c r="R109" s="30">
        <f t="shared" si="27"/>
        <v>12517.204657411958</v>
      </c>
      <c r="S109" s="1">
        <v>756.24</v>
      </c>
      <c r="T109" s="1">
        <v>1096.74</v>
      </c>
      <c r="U109" s="1">
        <v>756.24</v>
      </c>
      <c r="V109" s="1">
        <v>756.24</v>
      </c>
      <c r="W109" s="1">
        <v>756.24</v>
      </c>
      <c r="X109" s="1">
        <v>756.24</v>
      </c>
      <c r="Y109" s="1">
        <v>809.67</v>
      </c>
      <c r="Z109" s="1">
        <v>809.67</v>
      </c>
      <c r="AA109" s="1">
        <v>809.67</v>
      </c>
      <c r="AB109" s="1">
        <v>313.42</v>
      </c>
      <c r="AC109" s="165">
        <f t="shared" si="32"/>
        <v>7620.37</v>
      </c>
      <c r="AD109" s="1">
        <v>0</v>
      </c>
      <c r="AE109" s="1">
        <v>496.25</v>
      </c>
      <c r="AF109" s="1"/>
      <c r="AG109" s="1">
        <v>1690</v>
      </c>
      <c r="AH109" s="1">
        <v>0</v>
      </c>
      <c r="AI109" s="1">
        <v>1080.88</v>
      </c>
      <c r="AJ109" s="6">
        <f t="shared" si="29"/>
        <v>10887.5</v>
      </c>
      <c r="AK109" s="1"/>
      <c r="AL109" s="1"/>
      <c r="AM109" s="1"/>
      <c r="AN109" s="1"/>
      <c r="AO109" s="6">
        <f t="shared" si="30"/>
        <v>10887.5</v>
      </c>
      <c r="AP109" s="91">
        <f t="shared" si="33"/>
        <v>1629.7046574119577</v>
      </c>
      <c r="AQ109" s="10"/>
      <c r="AR109" s="10"/>
      <c r="AS109" s="34"/>
      <c r="AT109" s="116">
        <f t="shared" si="28"/>
        <v>1629.7046574119577</v>
      </c>
      <c r="AU109" s="116"/>
      <c r="AV109" s="116"/>
      <c r="AW109" s="116"/>
      <c r="AX109" s="146">
        <f>AT109+AU109-AV109-AW109</f>
        <v>1629.7046574119577</v>
      </c>
      <c r="AY109" s="116">
        <v>471.33</v>
      </c>
      <c r="AZ109" s="172">
        <f t="shared" si="31"/>
        <v>1158.3746574119577</v>
      </c>
      <c r="BA109" s="130">
        <v>301525.86</v>
      </c>
    </row>
    <row r="110" spans="1:53" ht="12.75">
      <c r="A110" s="1">
        <v>99</v>
      </c>
      <c r="B110" s="1" t="s">
        <v>114</v>
      </c>
      <c r="C110" s="1">
        <v>396.8</v>
      </c>
      <c r="D110" s="1">
        <v>0</v>
      </c>
      <c r="E110" s="7">
        <f t="shared" si="18"/>
        <v>396.8</v>
      </c>
      <c r="F110" s="5">
        <v>2.9</v>
      </c>
      <c r="G110" s="5">
        <v>6.16</v>
      </c>
      <c r="H110" s="5">
        <f t="shared" si="19"/>
        <v>9.06</v>
      </c>
      <c r="I110" s="28">
        <f t="shared" si="20"/>
        <v>21570.048000000003</v>
      </c>
      <c r="J110" s="5">
        <f t="shared" si="21"/>
        <v>3.101611830899999</v>
      </c>
      <c r="K110" s="5">
        <f t="shared" si="22"/>
        <v>6.588251337359999</v>
      </c>
      <c r="L110" s="27">
        <f t="shared" si="23"/>
        <v>9.689863168259999</v>
      </c>
      <c r="M110" s="61">
        <f t="shared" si="24"/>
        <v>23069.626230993403</v>
      </c>
      <c r="N110" s="34">
        <f t="shared" si="25"/>
        <v>44639.674230993405</v>
      </c>
      <c r="O110" s="34"/>
      <c r="P110" s="34"/>
      <c r="Q110" s="5">
        <f t="shared" si="26"/>
        <v>44639.674230993405</v>
      </c>
      <c r="R110" s="30">
        <f t="shared" si="27"/>
        <v>44639.674230993405</v>
      </c>
      <c r="S110" s="1">
        <v>1866.61</v>
      </c>
      <c r="T110" s="1">
        <v>1994.57</v>
      </c>
      <c r="U110" s="1">
        <v>1828.34</v>
      </c>
      <c r="V110" s="1">
        <v>1828.34</v>
      </c>
      <c r="W110" s="1">
        <v>1828.34</v>
      </c>
      <c r="X110" s="1">
        <v>3948.62</v>
      </c>
      <c r="Y110" s="1">
        <v>8554.29</v>
      </c>
      <c r="Z110" s="1">
        <v>2210.66</v>
      </c>
      <c r="AA110" s="1">
        <v>1943.41</v>
      </c>
      <c r="AB110" s="1">
        <v>861.17</v>
      </c>
      <c r="AC110" s="165">
        <f t="shared" si="32"/>
        <v>26864.35</v>
      </c>
      <c r="AD110" s="1">
        <v>0</v>
      </c>
      <c r="AE110" s="1">
        <v>2937.12</v>
      </c>
      <c r="AF110" s="1"/>
      <c r="AG110" s="1">
        <v>1943.41</v>
      </c>
      <c r="AH110" s="1">
        <v>0</v>
      </c>
      <c r="AI110" s="1">
        <v>2927.12</v>
      </c>
      <c r="AJ110" s="6">
        <f t="shared" si="29"/>
        <v>34672</v>
      </c>
      <c r="AK110" s="1"/>
      <c r="AL110" s="1"/>
      <c r="AM110" s="1"/>
      <c r="AN110" s="1"/>
      <c r="AO110" s="6">
        <f t="shared" si="30"/>
        <v>34672</v>
      </c>
      <c r="AP110" s="91">
        <f t="shared" si="33"/>
        <v>9967.674230993405</v>
      </c>
      <c r="AQ110" s="10">
        <v>12241.14</v>
      </c>
      <c r="AR110" s="10">
        <v>3752.06</v>
      </c>
      <c r="AS110" s="34"/>
      <c r="AT110" s="116">
        <f t="shared" si="28"/>
        <v>25960.874230993406</v>
      </c>
      <c r="AU110" s="116">
        <v>3674</v>
      </c>
      <c r="AV110" s="116"/>
      <c r="AW110" s="116"/>
      <c r="AX110" s="146">
        <f>AT110+AU110-AV110-AW110</f>
        <v>29634.874230993406</v>
      </c>
      <c r="AY110" s="116">
        <v>8570.75</v>
      </c>
      <c r="AZ110" s="172">
        <f t="shared" si="31"/>
        <v>21064.124230993406</v>
      </c>
      <c r="BA110" s="130">
        <v>114005.18</v>
      </c>
    </row>
    <row r="111" spans="1:53" ht="16.5" customHeight="1">
      <c r="A111" s="1">
        <v>100</v>
      </c>
      <c r="B111" s="1" t="s">
        <v>115</v>
      </c>
      <c r="C111" s="1">
        <v>471.9</v>
      </c>
      <c r="D111" s="1">
        <v>0</v>
      </c>
      <c r="E111" s="7">
        <f t="shared" si="18"/>
        <v>471.9</v>
      </c>
      <c r="F111" s="5">
        <v>2.9</v>
      </c>
      <c r="G111" s="5">
        <v>3.29</v>
      </c>
      <c r="H111" s="5">
        <f t="shared" si="19"/>
        <v>6.1899999999999995</v>
      </c>
      <c r="I111" s="28">
        <f t="shared" si="20"/>
        <v>17526.365999999998</v>
      </c>
      <c r="J111" s="5">
        <f t="shared" si="21"/>
        <v>3.101611830899999</v>
      </c>
      <c r="K111" s="5">
        <f t="shared" si="22"/>
        <v>3.5187251460899995</v>
      </c>
      <c r="L111" s="27">
        <f t="shared" si="23"/>
        <v>6.620336976989998</v>
      </c>
      <c r="M111" s="61">
        <f t="shared" si="24"/>
        <v>18744.82211664948</v>
      </c>
      <c r="N111" s="34">
        <f t="shared" si="25"/>
        <v>36271.18811664948</v>
      </c>
      <c r="O111" s="34">
        <v>26993.95</v>
      </c>
      <c r="P111" s="34">
        <v>20566.84</v>
      </c>
      <c r="Q111" s="5">
        <f t="shared" si="26"/>
        <v>9277.238116649478</v>
      </c>
      <c r="R111" s="30">
        <f t="shared" si="27"/>
        <v>29844.078116649478</v>
      </c>
      <c r="S111" s="1">
        <v>867.74</v>
      </c>
      <c r="T111" s="1">
        <v>867.74</v>
      </c>
      <c r="U111" s="1">
        <v>867.74</v>
      </c>
      <c r="V111" s="1">
        <v>867.74</v>
      </c>
      <c r="W111" s="1">
        <v>867.74</v>
      </c>
      <c r="X111" s="1">
        <v>1049.27</v>
      </c>
      <c r="Y111" s="1">
        <v>1528.43</v>
      </c>
      <c r="Z111" s="1">
        <v>929.05</v>
      </c>
      <c r="AA111" s="1">
        <v>6702.87</v>
      </c>
      <c r="AB111" s="1">
        <v>2448.65</v>
      </c>
      <c r="AC111" s="165">
        <f t="shared" si="32"/>
        <v>16996.97</v>
      </c>
      <c r="AD111" s="1">
        <v>0</v>
      </c>
      <c r="AE111" s="1">
        <v>569.42</v>
      </c>
      <c r="AF111" s="1"/>
      <c r="AG111" s="1">
        <v>929.05</v>
      </c>
      <c r="AH111" s="1">
        <v>0</v>
      </c>
      <c r="AI111" s="1">
        <v>929.05</v>
      </c>
      <c r="AJ111" s="6">
        <f t="shared" si="29"/>
        <v>19424.489999999998</v>
      </c>
      <c r="AK111" s="1"/>
      <c r="AL111" s="1"/>
      <c r="AM111" s="1">
        <v>1717.38</v>
      </c>
      <c r="AN111" s="1"/>
      <c r="AO111" s="6">
        <f t="shared" si="30"/>
        <v>21141.87</v>
      </c>
      <c r="AP111" s="91">
        <f t="shared" si="33"/>
        <v>8702.208116649479</v>
      </c>
      <c r="AQ111" s="10"/>
      <c r="AR111" s="10"/>
      <c r="AS111" s="34"/>
      <c r="AT111" s="116">
        <f t="shared" si="28"/>
        <v>8702.208116649479</v>
      </c>
      <c r="AU111" s="116"/>
      <c r="AV111" s="116"/>
      <c r="AW111" s="116"/>
      <c r="AX111" s="146">
        <f>AT111+AU111-AV111-AW111</f>
        <v>8702.208116649479</v>
      </c>
      <c r="AY111" s="116">
        <v>2516.78</v>
      </c>
      <c r="AZ111" s="172">
        <f t="shared" si="31"/>
        <v>6185.428116649478</v>
      </c>
      <c r="BA111" s="130">
        <v>28515.39</v>
      </c>
    </row>
    <row r="112" spans="1:53" ht="12.75">
      <c r="A112" s="1">
        <v>101</v>
      </c>
      <c r="B112" s="1" t="s">
        <v>116</v>
      </c>
      <c r="C112" s="1">
        <v>404.4</v>
      </c>
      <c r="D112" s="1">
        <v>0</v>
      </c>
      <c r="E112" s="7">
        <f t="shared" si="18"/>
        <v>404.4</v>
      </c>
      <c r="F112" s="5">
        <v>2.9</v>
      </c>
      <c r="G112" s="5">
        <v>6.16</v>
      </c>
      <c r="H112" s="5">
        <f t="shared" si="19"/>
        <v>9.06</v>
      </c>
      <c r="I112" s="28">
        <f t="shared" si="20"/>
        <v>21983.184</v>
      </c>
      <c r="J112" s="5">
        <f t="shared" si="21"/>
        <v>3.101611830899999</v>
      </c>
      <c r="K112" s="5">
        <f t="shared" si="22"/>
        <v>6.588251337359999</v>
      </c>
      <c r="L112" s="27">
        <f t="shared" si="23"/>
        <v>9.689863168259999</v>
      </c>
      <c r="M112" s="61">
        <f t="shared" si="24"/>
        <v>23511.483991466062</v>
      </c>
      <c r="N112" s="34">
        <f t="shared" si="25"/>
        <v>45494.66799146606</v>
      </c>
      <c r="O112" s="34"/>
      <c r="P112" s="34"/>
      <c r="Q112" s="5">
        <f t="shared" si="26"/>
        <v>45494.66799146606</v>
      </c>
      <c r="R112" s="30">
        <f t="shared" si="27"/>
        <v>45494.66799146606</v>
      </c>
      <c r="S112" s="1">
        <v>1684.8</v>
      </c>
      <c r="T112" s="1">
        <v>1851.03</v>
      </c>
      <c r="U112" s="1">
        <v>1684.8</v>
      </c>
      <c r="V112" s="1">
        <v>1684.8</v>
      </c>
      <c r="W112" s="1">
        <v>1684.8</v>
      </c>
      <c r="X112" s="1">
        <v>1684.8</v>
      </c>
      <c r="Y112" s="1">
        <v>2291.75</v>
      </c>
      <c r="Z112" s="1">
        <v>2069.5</v>
      </c>
      <c r="AA112" s="1">
        <v>1802.25</v>
      </c>
      <c r="AB112" s="1">
        <v>697.65</v>
      </c>
      <c r="AC112" s="165">
        <f t="shared" si="32"/>
        <v>17136.18</v>
      </c>
      <c r="AD112" s="1">
        <v>0</v>
      </c>
      <c r="AE112" s="1">
        <v>1104.6</v>
      </c>
      <c r="AF112" s="1"/>
      <c r="AG112" s="1">
        <v>2856.42</v>
      </c>
      <c r="AH112" s="1">
        <v>0</v>
      </c>
      <c r="AI112" s="1">
        <v>2785.96</v>
      </c>
      <c r="AJ112" s="6">
        <f t="shared" si="29"/>
        <v>23883.159999999996</v>
      </c>
      <c r="AK112" s="1"/>
      <c r="AL112" s="1"/>
      <c r="AM112" s="1"/>
      <c r="AN112" s="1"/>
      <c r="AO112" s="6">
        <f t="shared" si="30"/>
        <v>23883.159999999996</v>
      </c>
      <c r="AP112" s="91">
        <f t="shared" si="33"/>
        <v>21611.507991466067</v>
      </c>
      <c r="AQ112" s="10"/>
      <c r="AR112" s="10">
        <v>-6453.47</v>
      </c>
      <c r="AS112" s="34"/>
      <c r="AT112" s="116">
        <f t="shared" si="28"/>
        <v>15158.037991466066</v>
      </c>
      <c r="AU112" s="116"/>
      <c r="AV112" s="116"/>
      <c r="AW112" s="116"/>
      <c r="AX112" s="116">
        <f>AT112+AU112-AV112-AW112</f>
        <v>15158.037991466066</v>
      </c>
      <c r="AY112" s="116">
        <v>4383.88</v>
      </c>
      <c r="AZ112" s="172">
        <f t="shared" si="31"/>
        <v>10774.157991466065</v>
      </c>
      <c r="BA112" s="130">
        <v>158132.3</v>
      </c>
    </row>
    <row r="113" spans="1:53" ht="16.5" customHeight="1">
      <c r="A113" s="1">
        <v>102</v>
      </c>
      <c r="B113" s="84" t="s">
        <v>117</v>
      </c>
      <c r="C113" s="1">
        <v>657.6</v>
      </c>
      <c r="D113" s="1">
        <v>0</v>
      </c>
      <c r="E113" s="7">
        <f t="shared" si="18"/>
        <v>657.6</v>
      </c>
      <c r="F113" s="5">
        <v>2.9</v>
      </c>
      <c r="G113" s="5">
        <v>3.96</v>
      </c>
      <c r="H113" s="5">
        <f t="shared" si="19"/>
        <v>6.859999999999999</v>
      </c>
      <c r="I113" s="28">
        <f t="shared" si="20"/>
        <v>27066.816</v>
      </c>
      <c r="J113" s="5">
        <f t="shared" si="21"/>
        <v>3.101611830899999</v>
      </c>
      <c r="K113" s="5">
        <f t="shared" si="22"/>
        <v>4.235304431159999</v>
      </c>
      <c r="L113" s="27">
        <f t="shared" si="23"/>
        <v>7.336916262059999</v>
      </c>
      <c r="M113" s="61">
        <f t="shared" si="24"/>
        <v>28948.536803583935</v>
      </c>
      <c r="N113" s="34">
        <f t="shared" si="25"/>
        <v>56015.35280358393</v>
      </c>
      <c r="O113" s="34">
        <v>35462.67</v>
      </c>
      <c r="P113" s="34">
        <v>5803.35</v>
      </c>
      <c r="Q113" s="5">
        <f t="shared" si="26"/>
        <v>20552.682803583935</v>
      </c>
      <c r="R113" s="30">
        <f t="shared" si="27"/>
        <v>26356.032803583934</v>
      </c>
      <c r="S113" s="1">
        <v>2408.76</v>
      </c>
      <c r="T113" s="1">
        <v>1814.42</v>
      </c>
      <c r="U113" s="1">
        <v>1387.63</v>
      </c>
      <c r="V113" s="1">
        <v>2543.36</v>
      </c>
      <c r="W113" s="1">
        <v>2199.09</v>
      </c>
      <c r="X113" s="1">
        <v>1814.42</v>
      </c>
      <c r="Y113" s="1">
        <v>1899.91</v>
      </c>
      <c r="Z113" s="1">
        <v>1473.12</v>
      </c>
      <c r="AA113" s="1">
        <v>6377.02</v>
      </c>
      <c r="AB113" s="1">
        <v>679.12</v>
      </c>
      <c r="AC113" s="165">
        <f t="shared" si="32"/>
        <v>22596.85</v>
      </c>
      <c r="AD113" s="1">
        <v>0</v>
      </c>
      <c r="AE113" s="1">
        <v>794</v>
      </c>
      <c r="AF113" s="1">
        <v>0</v>
      </c>
      <c r="AG113" s="1">
        <v>3288.83</v>
      </c>
      <c r="AH113" s="1">
        <v>0</v>
      </c>
      <c r="AI113" s="1">
        <v>1876.19</v>
      </c>
      <c r="AJ113" s="6">
        <f t="shared" si="29"/>
        <v>28555.87</v>
      </c>
      <c r="AK113" s="1"/>
      <c r="AL113" s="1"/>
      <c r="AM113" s="1"/>
      <c r="AN113" s="1"/>
      <c r="AO113" s="6">
        <f t="shared" si="30"/>
        <v>28555.87</v>
      </c>
      <c r="AP113" s="136">
        <f t="shared" si="33"/>
        <v>-2199.837196416065</v>
      </c>
      <c r="AQ113" s="110"/>
      <c r="AR113" s="110"/>
      <c r="AS113" s="111"/>
      <c r="AT113" s="111">
        <f t="shared" si="28"/>
        <v>-2199.837196416065</v>
      </c>
      <c r="AU113" s="121"/>
      <c r="AV113" s="111"/>
      <c r="AW113" s="111"/>
      <c r="AX113" s="111"/>
      <c r="AY113" s="116"/>
      <c r="AZ113" s="172">
        <f t="shared" si="31"/>
        <v>0</v>
      </c>
      <c r="BA113" s="130">
        <v>72300.74</v>
      </c>
    </row>
    <row r="114" spans="1:53" ht="12.75" customHeight="1">
      <c r="A114" s="1">
        <v>103</v>
      </c>
      <c r="B114" s="84" t="s">
        <v>118</v>
      </c>
      <c r="C114" s="1">
        <v>655.8</v>
      </c>
      <c r="D114" s="1">
        <v>0</v>
      </c>
      <c r="E114" s="7">
        <f t="shared" si="18"/>
        <v>655.8</v>
      </c>
      <c r="F114" s="5">
        <v>2.9</v>
      </c>
      <c r="G114" s="5">
        <v>7.85</v>
      </c>
      <c r="H114" s="5">
        <f t="shared" si="19"/>
        <v>10.75</v>
      </c>
      <c r="I114" s="28">
        <f t="shared" si="20"/>
        <v>42299.1</v>
      </c>
      <c r="J114" s="5">
        <f t="shared" si="21"/>
        <v>3.101611830899999</v>
      </c>
      <c r="K114" s="5">
        <f t="shared" si="22"/>
        <v>8.395742369849998</v>
      </c>
      <c r="L114" s="27">
        <f t="shared" si="23"/>
        <v>11.497354200749998</v>
      </c>
      <c r="M114" s="61">
        <f t="shared" si="24"/>
        <v>45239.78930911109</v>
      </c>
      <c r="N114" s="34">
        <f t="shared" si="25"/>
        <v>87538.88930911108</v>
      </c>
      <c r="O114" s="34">
        <v>129283.79</v>
      </c>
      <c r="P114" s="34"/>
      <c r="Q114" s="5">
        <f t="shared" si="26"/>
        <v>-41744.90069088891</v>
      </c>
      <c r="R114" s="30">
        <v>16611.86</v>
      </c>
      <c r="S114" s="1">
        <v>3962.47</v>
      </c>
      <c r="T114" s="1">
        <v>1384.32</v>
      </c>
      <c r="U114" s="1">
        <v>2889.36</v>
      </c>
      <c r="V114" s="1">
        <v>9267.28</v>
      </c>
      <c r="W114" s="1">
        <v>13315.53</v>
      </c>
      <c r="X114" s="1">
        <v>1384.32</v>
      </c>
      <c r="Y114" s="1">
        <v>1469.58</v>
      </c>
      <c r="Z114" s="1">
        <v>3479.41</v>
      </c>
      <c r="AA114" s="1">
        <v>2967.5</v>
      </c>
      <c r="AB114" s="1">
        <v>3310.8</v>
      </c>
      <c r="AC114" s="165">
        <f t="shared" si="32"/>
        <v>43430.57000000001</v>
      </c>
      <c r="AD114" s="1">
        <v>0</v>
      </c>
      <c r="AE114" s="1">
        <v>791.83</v>
      </c>
      <c r="AF114" s="1">
        <v>0</v>
      </c>
      <c r="AG114" s="1">
        <v>1974.09</v>
      </c>
      <c r="AH114" s="1">
        <v>0</v>
      </c>
      <c r="AI114" s="1">
        <v>1469.58</v>
      </c>
      <c r="AJ114" s="6">
        <f t="shared" si="29"/>
        <v>47666.07000000001</v>
      </c>
      <c r="AK114" s="1"/>
      <c r="AL114" s="1"/>
      <c r="AM114" s="1"/>
      <c r="AN114" s="1"/>
      <c r="AO114" s="6">
        <f t="shared" si="30"/>
        <v>47666.07000000001</v>
      </c>
      <c r="AP114" s="136">
        <f t="shared" si="33"/>
        <v>-31054.210000000006</v>
      </c>
      <c r="AQ114" s="110"/>
      <c r="AR114" s="110"/>
      <c r="AS114" s="111"/>
      <c r="AT114" s="111">
        <f t="shared" si="28"/>
        <v>-31054.210000000006</v>
      </c>
      <c r="AU114" s="121"/>
      <c r="AV114" s="111"/>
      <c r="AW114" s="111"/>
      <c r="AX114" s="111"/>
      <c r="AY114" s="116"/>
      <c r="AZ114" s="172">
        <f t="shared" si="31"/>
        <v>0</v>
      </c>
      <c r="BA114" s="130">
        <v>61657.91</v>
      </c>
    </row>
    <row r="115" spans="1:54" ht="12.75">
      <c r="A115" s="1">
        <v>104</v>
      </c>
      <c r="B115" s="84" t="s">
        <v>119</v>
      </c>
      <c r="C115" s="1">
        <v>2003.9</v>
      </c>
      <c r="D115" s="1">
        <v>0</v>
      </c>
      <c r="E115" s="7">
        <f t="shared" si="18"/>
        <v>2003.9</v>
      </c>
      <c r="F115" s="5">
        <v>2.9</v>
      </c>
      <c r="G115" s="5">
        <v>7.85</v>
      </c>
      <c r="H115" s="5">
        <f t="shared" si="19"/>
        <v>10.75</v>
      </c>
      <c r="I115" s="28">
        <f t="shared" si="20"/>
        <v>129251.54999999999</v>
      </c>
      <c r="J115" s="5">
        <f t="shared" si="21"/>
        <v>3.101611830899999</v>
      </c>
      <c r="K115" s="5">
        <f t="shared" si="22"/>
        <v>8.395742369849998</v>
      </c>
      <c r="L115" s="27">
        <f t="shared" si="23"/>
        <v>11.497354200749998</v>
      </c>
      <c r="M115" s="61">
        <f t="shared" si="24"/>
        <v>138237.28849729753</v>
      </c>
      <c r="N115" s="34">
        <f t="shared" si="25"/>
        <v>267488.8384972975</v>
      </c>
      <c r="O115" s="34"/>
      <c r="P115" s="34"/>
      <c r="Q115" s="5">
        <f t="shared" si="26"/>
        <v>267488.8384972975</v>
      </c>
      <c r="R115" s="30">
        <f t="shared" si="27"/>
        <v>267488.8384972975</v>
      </c>
      <c r="S115" s="1">
        <v>11933</v>
      </c>
      <c r="T115" s="1">
        <v>10013.78</v>
      </c>
      <c r="U115" s="1">
        <v>9305.09</v>
      </c>
      <c r="V115" s="1">
        <v>9808.76</v>
      </c>
      <c r="W115" s="1">
        <v>9538.91</v>
      </c>
      <c r="X115" s="1">
        <v>15944.34</v>
      </c>
      <c r="Y115" s="1">
        <v>13716.73</v>
      </c>
      <c r="Z115" s="1">
        <v>26150.04</v>
      </c>
      <c r="AA115" s="1">
        <v>13479.93</v>
      </c>
      <c r="AB115" s="1">
        <v>4035.59</v>
      </c>
      <c r="AC115" s="165">
        <f t="shared" si="32"/>
        <v>123926.16999999998</v>
      </c>
      <c r="AD115" s="1">
        <v>3045.93</v>
      </c>
      <c r="AE115" s="1">
        <v>2419.55</v>
      </c>
      <c r="AF115" s="1">
        <v>6917.21</v>
      </c>
      <c r="AG115" s="1">
        <v>14586.85</v>
      </c>
      <c r="AH115" s="1">
        <v>11784.11</v>
      </c>
      <c r="AI115" s="1">
        <v>8938.35</v>
      </c>
      <c r="AJ115" s="6">
        <f t="shared" si="29"/>
        <v>171618.17</v>
      </c>
      <c r="AK115" s="1"/>
      <c r="AL115" s="1"/>
      <c r="AM115" s="1"/>
      <c r="AN115" s="1"/>
      <c r="AO115" s="6">
        <f t="shared" si="30"/>
        <v>171618.17</v>
      </c>
      <c r="AP115" s="91">
        <f t="shared" si="33"/>
        <v>95870.66849729748</v>
      </c>
      <c r="AQ115" s="10">
        <v>12556.45</v>
      </c>
      <c r="AR115" s="10">
        <v>6696.4</v>
      </c>
      <c r="AS115" s="34"/>
      <c r="AT115" s="116">
        <f t="shared" si="28"/>
        <v>115123.51849729747</v>
      </c>
      <c r="AU115" s="116"/>
      <c r="AV115" s="116"/>
      <c r="AW115" s="116"/>
      <c r="AX115" s="116">
        <f>AT115+AU115-AV115-AW115</f>
        <v>115123.51849729747</v>
      </c>
      <c r="AY115" s="116">
        <v>33295.08</v>
      </c>
      <c r="AZ115" s="172">
        <f t="shared" si="31"/>
        <v>81828.43849729747</v>
      </c>
      <c r="BA115" s="130">
        <v>124514.99</v>
      </c>
      <c r="BB115" s="94"/>
    </row>
    <row r="116" spans="1:53" ht="12.75">
      <c r="A116" s="1">
        <v>105</v>
      </c>
      <c r="B116" s="84" t="s">
        <v>122</v>
      </c>
      <c r="C116" s="1">
        <v>3297.5</v>
      </c>
      <c r="D116" s="1">
        <v>350.1</v>
      </c>
      <c r="E116" s="7">
        <f t="shared" si="18"/>
        <v>3647.6</v>
      </c>
      <c r="F116" s="5">
        <v>2.9</v>
      </c>
      <c r="G116" s="5">
        <v>7.15</v>
      </c>
      <c r="H116" s="5">
        <f t="shared" si="19"/>
        <v>10.05</v>
      </c>
      <c r="I116" s="28">
        <f t="shared" si="20"/>
        <v>219950.28000000003</v>
      </c>
      <c r="J116" s="5">
        <f t="shared" si="21"/>
        <v>3.101611830899999</v>
      </c>
      <c r="K116" s="5">
        <f t="shared" si="22"/>
        <v>7.64707744515</v>
      </c>
      <c r="L116" s="27">
        <f t="shared" si="23"/>
        <v>10.74868927605</v>
      </c>
      <c r="M116" s="61">
        <f t="shared" si="24"/>
        <v>235241.51401991985</v>
      </c>
      <c r="N116" s="34">
        <f t="shared" si="25"/>
        <v>455191.7940199199</v>
      </c>
      <c r="O116" s="34"/>
      <c r="P116" s="34"/>
      <c r="Q116" s="5">
        <f t="shared" si="26"/>
        <v>455191.7940199199</v>
      </c>
      <c r="R116" s="30">
        <f t="shared" si="27"/>
        <v>455191.7940199199</v>
      </c>
      <c r="S116" s="1">
        <v>27058.38</v>
      </c>
      <c r="T116" s="1">
        <v>45834.1</v>
      </c>
      <c r="U116" s="1">
        <v>37944.56</v>
      </c>
      <c r="V116" s="1">
        <v>26969.92</v>
      </c>
      <c r="W116" s="1">
        <v>19277.23</v>
      </c>
      <c r="X116" s="1">
        <v>22143.2</v>
      </c>
      <c r="Y116" s="1">
        <v>22416.65</v>
      </c>
      <c r="Z116" s="1">
        <v>121142.11</v>
      </c>
      <c r="AA116" s="1">
        <v>17933.39</v>
      </c>
      <c r="AB116" s="1">
        <v>13431.06</v>
      </c>
      <c r="AC116" s="165">
        <f t="shared" si="32"/>
        <v>354150.60000000003</v>
      </c>
      <c r="AD116" s="1">
        <v>7318.12</v>
      </c>
      <c r="AE116" s="1">
        <v>4828.04</v>
      </c>
      <c r="AF116" s="1">
        <v>22846.29</v>
      </c>
      <c r="AG116" s="1">
        <v>9399.39</v>
      </c>
      <c r="AH116" s="1">
        <v>29392.01</v>
      </c>
      <c r="AI116" s="1">
        <v>13680</v>
      </c>
      <c r="AJ116" s="6">
        <f t="shared" si="29"/>
        <v>441614.45</v>
      </c>
      <c r="AK116" s="1"/>
      <c r="AL116" s="1"/>
      <c r="AM116" s="1"/>
      <c r="AN116" s="1"/>
      <c r="AO116" s="6">
        <f t="shared" si="30"/>
        <v>441614.45</v>
      </c>
      <c r="AP116" s="91">
        <f t="shared" si="33"/>
        <v>13577.344019919867</v>
      </c>
      <c r="AQ116" s="10">
        <v>39333.51</v>
      </c>
      <c r="AR116" s="10">
        <v>159118.45</v>
      </c>
      <c r="AS116" s="34"/>
      <c r="AT116" s="116">
        <f t="shared" si="28"/>
        <v>212029.3040199199</v>
      </c>
      <c r="AU116" s="116">
        <v>4939</v>
      </c>
      <c r="AV116" s="144">
        <v>58372.41</v>
      </c>
      <c r="AW116" s="116"/>
      <c r="AX116" s="116">
        <f>AT116+AU116-AV116-AW116</f>
        <v>158595.89401991988</v>
      </c>
      <c r="AY116" s="116">
        <v>45867.8</v>
      </c>
      <c r="AZ116" s="172">
        <f t="shared" si="31"/>
        <v>112728.09401991988</v>
      </c>
      <c r="BA116" s="130">
        <v>114678.32</v>
      </c>
    </row>
    <row r="117" spans="1:53" ht="12.75">
      <c r="A117" s="1">
        <v>106</v>
      </c>
      <c r="B117" s="1" t="s">
        <v>123</v>
      </c>
      <c r="C117" s="1">
        <v>468.6</v>
      </c>
      <c r="D117" s="1">
        <v>0</v>
      </c>
      <c r="E117" s="7">
        <f t="shared" si="18"/>
        <v>468.6</v>
      </c>
      <c r="F117" s="5">
        <v>2.9</v>
      </c>
      <c r="G117" s="5">
        <v>6.16</v>
      </c>
      <c r="H117" s="5">
        <f t="shared" si="19"/>
        <v>9.06</v>
      </c>
      <c r="I117" s="28">
        <f t="shared" si="20"/>
        <v>25473.096000000005</v>
      </c>
      <c r="J117" s="5">
        <f t="shared" si="21"/>
        <v>3.101611830899999</v>
      </c>
      <c r="K117" s="5">
        <f t="shared" si="22"/>
        <v>6.588251337359999</v>
      </c>
      <c r="L117" s="27">
        <f t="shared" si="23"/>
        <v>9.689863168259999</v>
      </c>
      <c r="M117" s="61">
        <f t="shared" si="24"/>
        <v>27244.019283879814</v>
      </c>
      <c r="N117" s="34">
        <f t="shared" si="25"/>
        <v>52717.115283879815</v>
      </c>
      <c r="O117" s="34"/>
      <c r="P117" s="34"/>
      <c r="Q117" s="5">
        <f t="shared" si="26"/>
        <v>52717.115283879815</v>
      </c>
      <c r="R117" s="30">
        <f t="shared" si="27"/>
        <v>52717.115283879815</v>
      </c>
      <c r="S117" s="1">
        <v>2126.19</v>
      </c>
      <c r="T117" s="1">
        <v>2126.19</v>
      </c>
      <c r="U117" s="1">
        <v>2126.19</v>
      </c>
      <c r="V117" s="1">
        <v>2126.19</v>
      </c>
      <c r="W117" s="1">
        <v>2126.19</v>
      </c>
      <c r="X117" s="1">
        <v>2126.19</v>
      </c>
      <c r="Y117" s="1">
        <v>2262.03</v>
      </c>
      <c r="Z117" s="1">
        <v>8319.34</v>
      </c>
      <c r="AA117" s="1">
        <v>2262.03</v>
      </c>
      <c r="AB117" s="1">
        <v>984.51</v>
      </c>
      <c r="AC117" s="165">
        <f t="shared" si="32"/>
        <v>26585.05</v>
      </c>
      <c r="AD117" s="1">
        <v>0</v>
      </c>
      <c r="AE117" s="1">
        <v>1277.52</v>
      </c>
      <c r="AF117" s="1"/>
      <c r="AG117" s="1">
        <v>2262.03</v>
      </c>
      <c r="AH117" s="1">
        <v>0</v>
      </c>
      <c r="AI117" s="1">
        <v>21889.8</v>
      </c>
      <c r="AJ117" s="6">
        <f t="shared" si="29"/>
        <v>52014.399999999994</v>
      </c>
      <c r="AK117" s="1"/>
      <c r="AL117" s="1"/>
      <c r="AM117" s="1"/>
      <c r="AN117" s="1"/>
      <c r="AO117" s="6">
        <f t="shared" si="30"/>
        <v>52014.399999999994</v>
      </c>
      <c r="AP117" s="91">
        <f t="shared" si="33"/>
        <v>702.7152838798211</v>
      </c>
      <c r="AQ117" s="10">
        <v>10599.92</v>
      </c>
      <c r="AR117" s="10">
        <v>-7056.82</v>
      </c>
      <c r="AS117" s="34"/>
      <c r="AT117" s="116">
        <f t="shared" si="28"/>
        <v>4245.815283879821</v>
      </c>
      <c r="AU117" s="116"/>
      <c r="AV117" s="116"/>
      <c r="AW117" s="116"/>
      <c r="AX117" s="116">
        <f>AT117+AU117-AV117-AW117</f>
        <v>4245.815283879821</v>
      </c>
      <c r="AY117" s="116">
        <v>1227.94</v>
      </c>
      <c r="AZ117" s="172">
        <f t="shared" si="31"/>
        <v>3017.8752838798214</v>
      </c>
      <c r="BA117" s="130">
        <v>18388.05</v>
      </c>
    </row>
    <row r="118" spans="1:53" ht="15.75" customHeight="1">
      <c r="A118" s="1">
        <v>107</v>
      </c>
      <c r="B118" s="1" t="s">
        <v>124</v>
      </c>
      <c r="C118" s="1">
        <v>465.5</v>
      </c>
      <c r="D118" s="1">
        <v>0</v>
      </c>
      <c r="E118" s="7">
        <f t="shared" si="18"/>
        <v>465.5</v>
      </c>
      <c r="F118" s="5">
        <v>2.9</v>
      </c>
      <c r="G118" s="5">
        <v>3.43</v>
      </c>
      <c r="H118" s="5">
        <f t="shared" si="19"/>
        <v>6.33</v>
      </c>
      <c r="I118" s="28">
        <f t="shared" si="20"/>
        <v>17679.690000000002</v>
      </c>
      <c r="J118" s="5">
        <f t="shared" si="21"/>
        <v>3.101611830899999</v>
      </c>
      <c r="K118" s="5">
        <f t="shared" si="22"/>
        <v>3.6684581310299995</v>
      </c>
      <c r="L118" s="27">
        <f t="shared" si="23"/>
        <v>6.770069961929998</v>
      </c>
      <c r="M118" s="61">
        <f t="shared" si="24"/>
        <v>18908.805403670485</v>
      </c>
      <c r="N118" s="34">
        <f t="shared" si="25"/>
        <v>36588.49540367049</v>
      </c>
      <c r="O118" s="34">
        <v>2375.73</v>
      </c>
      <c r="P118" s="34">
        <v>1829.25</v>
      </c>
      <c r="Q118" s="5">
        <f t="shared" si="26"/>
        <v>34212.765403670484</v>
      </c>
      <c r="R118" s="30">
        <f t="shared" si="27"/>
        <v>36042.015403670484</v>
      </c>
      <c r="S118" s="1">
        <v>1034.17</v>
      </c>
      <c r="T118" s="1">
        <v>1034.17</v>
      </c>
      <c r="U118" s="1">
        <v>1034.17</v>
      </c>
      <c r="V118" s="1">
        <v>1034.17</v>
      </c>
      <c r="W118" s="1">
        <v>19223.63</v>
      </c>
      <c r="X118" s="1">
        <v>1034.17</v>
      </c>
      <c r="Y118" s="1">
        <v>1094.69</v>
      </c>
      <c r="Z118" s="1">
        <v>2440.53</v>
      </c>
      <c r="AA118" s="1">
        <v>10213.44</v>
      </c>
      <c r="AB118" s="1">
        <v>532.63</v>
      </c>
      <c r="AC118" s="165">
        <f t="shared" si="32"/>
        <v>38675.77</v>
      </c>
      <c r="AD118" s="1">
        <v>0</v>
      </c>
      <c r="AE118" s="1">
        <v>562.05</v>
      </c>
      <c r="AF118" s="1"/>
      <c r="AG118" s="1">
        <v>1094.69</v>
      </c>
      <c r="AH118" s="1">
        <v>0</v>
      </c>
      <c r="AI118" s="1">
        <v>1094.69</v>
      </c>
      <c r="AJ118" s="6">
        <f t="shared" si="29"/>
        <v>41427.200000000004</v>
      </c>
      <c r="AK118" s="1"/>
      <c r="AL118" s="1"/>
      <c r="AM118" s="1"/>
      <c r="AN118" s="1"/>
      <c r="AO118" s="6">
        <f t="shared" si="30"/>
        <v>41427.200000000004</v>
      </c>
      <c r="AP118" s="136">
        <f t="shared" si="33"/>
        <v>-5385.18459632952</v>
      </c>
      <c r="AQ118" s="110"/>
      <c r="AR118" s="110"/>
      <c r="AS118" s="111"/>
      <c r="AT118" s="111">
        <f t="shared" si="28"/>
        <v>-5385.18459632952</v>
      </c>
      <c r="AU118" s="121"/>
      <c r="AV118" s="111"/>
      <c r="AW118" s="111"/>
      <c r="AX118" s="111"/>
      <c r="AY118" s="116"/>
      <c r="AZ118" s="172">
        <f t="shared" si="31"/>
        <v>0</v>
      </c>
      <c r="BA118" s="130">
        <v>46067.42</v>
      </c>
    </row>
    <row r="119" spans="1:53" ht="12.75" customHeight="1">
      <c r="A119" s="1">
        <v>108</v>
      </c>
      <c r="B119" s="84" t="s">
        <v>125</v>
      </c>
      <c r="C119" s="1">
        <v>709.8</v>
      </c>
      <c r="D119" s="1">
        <v>0</v>
      </c>
      <c r="E119" s="7">
        <f t="shared" si="18"/>
        <v>709.8</v>
      </c>
      <c r="F119" s="5">
        <v>2.9</v>
      </c>
      <c r="G119" s="5">
        <v>6.1</v>
      </c>
      <c r="H119" s="5">
        <f t="shared" si="19"/>
        <v>9</v>
      </c>
      <c r="I119" s="28">
        <f t="shared" si="20"/>
        <v>38329.2</v>
      </c>
      <c r="J119" s="5">
        <f t="shared" si="21"/>
        <v>3.101611830899999</v>
      </c>
      <c r="K119" s="5">
        <f t="shared" si="22"/>
        <v>6.524080058099998</v>
      </c>
      <c r="L119" s="27">
        <f t="shared" si="23"/>
        <v>9.625691888999997</v>
      </c>
      <c r="M119" s="61">
        <f t="shared" si="24"/>
        <v>40993.896616873186</v>
      </c>
      <c r="N119" s="34">
        <f t="shared" si="25"/>
        <v>79323.09661687318</v>
      </c>
      <c r="O119" s="34">
        <v>97581.26</v>
      </c>
      <c r="P119" s="34"/>
      <c r="Q119" s="5">
        <f t="shared" si="26"/>
        <v>-18258.163383126812</v>
      </c>
      <c r="R119" s="30">
        <v>17804.18</v>
      </c>
      <c r="S119" s="1">
        <v>1651.64</v>
      </c>
      <c r="T119" s="1">
        <v>1778.74</v>
      </c>
      <c r="U119" s="1">
        <v>2281.76</v>
      </c>
      <c r="V119" s="1">
        <v>3173.91</v>
      </c>
      <c r="W119" s="1">
        <v>1483.68</v>
      </c>
      <c r="X119" s="1">
        <v>1483.68</v>
      </c>
      <c r="Y119" s="1">
        <v>19527.35</v>
      </c>
      <c r="Z119" s="1">
        <v>4252.2</v>
      </c>
      <c r="AA119" s="1">
        <v>41015.46</v>
      </c>
      <c r="AB119" s="1">
        <v>718.93</v>
      </c>
      <c r="AC119" s="165">
        <f t="shared" si="32"/>
        <v>77367.34999999999</v>
      </c>
      <c r="AD119" s="1">
        <v>1265.56</v>
      </c>
      <c r="AE119" s="1">
        <v>857.03</v>
      </c>
      <c r="AF119" s="1">
        <v>0</v>
      </c>
      <c r="AG119" s="1">
        <v>1575.96</v>
      </c>
      <c r="AH119" s="1">
        <v>0</v>
      </c>
      <c r="AI119" s="1">
        <v>1575.96</v>
      </c>
      <c r="AJ119" s="6">
        <f t="shared" si="29"/>
        <v>82641.86</v>
      </c>
      <c r="AK119" s="1"/>
      <c r="AL119" s="1"/>
      <c r="AM119" s="1"/>
      <c r="AN119" s="1"/>
      <c r="AO119" s="6">
        <f t="shared" si="30"/>
        <v>82641.86</v>
      </c>
      <c r="AP119" s="136">
        <f t="shared" si="33"/>
        <v>-64837.68</v>
      </c>
      <c r="AQ119" s="110"/>
      <c r="AR119" s="110"/>
      <c r="AS119" s="111"/>
      <c r="AT119" s="111">
        <f t="shared" si="28"/>
        <v>-64837.68</v>
      </c>
      <c r="AU119" s="121"/>
      <c r="AV119" s="111"/>
      <c r="AW119" s="111"/>
      <c r="AX119" s="111"/>
      <c r="AY119" s="116"/>
      <c r="AZ119" s="172">
        <f t="shared" si="31"/>
        <v>0</v>
      </c>
      <c r="BA119" s="130">
        <v>198462.97</v>
      </c>
    </row>
    <row r="120" spans="1:53" ht="12.75">
      <c r="A120" s="1">
        <v>109</v>
      </c>
      <c r="B120" s="84" t="s">
        <v>126</v>
      </c>
      <c r="C120" s="1">
        <v>5558</v>
      </c>
      <c r="D120" s="1">
        <v>0</v>
      </c>
      <c r="E120" s="7">
        <f t="shared" si="18"/>
        <v>5558</v>
      </c>
      <c r="F120" s="5">
        <v>2.9</v>
      </c>
      <c r="G120" s="5">
        <v>7.85</v>
      </c>
      <c r="H120" s="5">
        <f t="shared" si="19"/>
        <v>10.75</v>
      </c>
      <c r="I120" s="28">
        <f t="shared" si="20"/>
        <v>358491</v>
      </c>
      <c r="J120" s="5">
        <f t="shared" si="21"/>
        <v>3.101611830899999</v>
      </c>
      <c r="K120" s="5">
        <f t="shared" si="22"/>
        <v>8.395742369849998</v>
      </c>
      <c r="L120" s="27">
        <f t="shared" si="23"/>
        <v>11.497354200749998</v>
      </c>
      <c r="M120" s="61">
        <f t="shared" si="24"/>
        <v>383413.76788661093</v>
      </c>
      <c r="N120" s="34">
        <f t="shared" si="25"/>
        <v>741904.7678866109</v>
      </c>
      <c r="O120" s="34">
        <v>644312.44</v>
      </c>
      <c r="P120" s="34"/>
      <c r="Q120" s="5">
        <f t="shared" si="26"/>
        <v>97592.32788661099</v>
      </c>
      <c r="R120" s="30">
        <v>281933.62</v>
      </c>
      <c r="S120" s="1">
        <v>38180.45</v>
      </c>
      <c r="T120" s="1">
        <v>77391.52</v>
      </c>
      <c r="U120" s="1">
        <v>114444.36</v>
      </c>
      <c r="V120" s="1">
        <v>33735.01</v>
      </c>
      <c r="W120" s="1">
        <v>33796.96</v>
      </c>
      <c r="X120" s="1">
        <v>38533.44</v>
      </c>
      <c r="Y120" s="1">
        <v>39148.88</v>
      </c>
      <c r="Z120" s="1">
        <v>37698.98</v>
      </c>
      <c r="AA120" s="1">
        <v>84297.55</v>
      </c>
      <c r="AB120" s="1">
        <v>17818.43</v>
      </c>
      <c r="AC120" s="165">
        <f t="shared" si="32"/>
        <v>515045.58</v>
      </c>
      <c r="AD120" s="1">
        <v>11977.93</v>
      </c>
      <c r="AE120" s="1">
        <v>12574.7</v>
      </c>
      <c r="AF120" s="1">
        <v>15594.8</v>
      </c>
      <c r="AG120" s="1">
        <v>21133.55</v>
      </c>
      <c r="AH120" s="1">
        <v>18711</v>
      </c>
      <c r="AI120" s="1">
        <v>15452.2</v>
      </c>
      <c r="AJ120" s="6">
        <f t="shared" si="29"/>
        <v>610489.76</v>
      </c>
      <c r="AK120" s="1"/>
      <c r="AL120" s="1"/>
      <c r="AM120" s="1"/>
      <c r="AN120" s="95">
        <v>43534</v>
      </c>
      <c r="AO120" s="6">
        <f t="shared" si="30"/>
        <v>654023.76</v>
      </c>
      <c r="AP120" s="136">
        <f t="shared" si="33"/>
        <v>-372090.14</v>
      </c>
      <c r="AQ120" s="110"/>
      <c r="AR120" s="110"/>
      <c r="AS120" s="111"/>
      <c r="AT120" s="111">
        <f t="shared" si="28"/>
        <v>-372090.14</v>
      </c>
      <c r="AU120" s="121">
        <v>4692</v>
      </c>
      <c r="AV120" s="111"/>
      <c r="AW120" s="111"/>
      <c r="AX120" s="147">
        <f>AU120-AV120-AW120</f>
        <v>4692</v>
      </c>
      <c r="AY120" s="116">
        <v>1356.98</v>
      </c>
      <c r="AZ120" s="172">
        <f t="shared" si="31"/>
        <v>3335.02</v>
      </c>
      <c r="BA120" s="130">
        <v>188042.24</v>
      </c>
    </row>
    <row r="121" spans="1:53" ht="12.75" customHeight="1">
      <c r="A121" s="1">
        <v>110</v>
      </c>
      <c r="B121" s="84" t="s">
        <v>127</v>
      </c>
      <c r="C121" s="1">
        <v>2726.5</v>
      </c>
      <c r="D121" s="1">
        <v>811.7</v>
      </c>
      <c r="E121" s="7">
        <f t="shared" si="18"/>
        <v>3538.2</v>
      </c>
      <c r="F121" s="5">
        <v>2.9</v>
      </c>
      <c r="G121" s="5">
        <v>7.35</v>
      </c>
      <c r="H121" s="5">
        <f t="shared" si="19"/>
        <v>10.25</v>
      </c>
      <c r="I121" s="28">
        <f t="shared" si="20"/>
        <v>217599.3</v>
      </c>
      <c r="J121" s="5">
        <f t="shared" si="21"/>
        <v>3.101611830899999</v>
      </c>
      <c r="K121" s="5">
        <f t="shared" si="22"/>
        <v>7.860981709349999</v>
      </c>
      <c r="L121" s="27">
        <f t="shared" si="23"/>
        <v>10.962593540249998</v>
      </c>
      <c r="M121" s="61">
        <f t="shared" si="24"/>
        <v>232727.09078467524</v>
      </c>
      <c r="N121" s="34">
        <f t="shared" si="25"/>
        <v>450326.39078467526</v>
      </c>
      <c r="O121" s="34"/>
      <c r="P121" s="34"/>
      <c r="Q121" s="5">
        <f t="shared" si="26"/>
        <v>450326.39078467526</v>
      </c>
      <c r="R121" s="30">
        <f t="shared" si="27"/>
        <v>450326.39078467526</v>
      </c>
      <c r="S121" s="1">
        <v>27259.23</v>
      </c>
      <c r="T121" s="1">
        <v>208090.8</v>
      </c>
      <c r="U121" s="1">
        <v>15835.43</v>
      </c>
      <c r="V121" s="1">
        <v>28753.08</v>
      </c>
      <c r="W121" s="1">
        <v>46531.73</v>
      </c>
      <c r="X121" s="1">
        <v>18222.35</v>
      </c>
      <c r="Y121" s="1">
        <v>16646.25</v>
      </c>
      <c r="Z121" s="1">
        <v>60119.49</v>
      </c>
      <c r="AA121" s="1">
        <v>73859.03</v>
      </c>
      <c r="AB121" s="1">
        <v>6270.07</v>
      </c>
      <c r="AC121" s="165">
        <f t="shared" si="32"/>
        <v>501587.4599999999</v>
      </c>
      <c r="AD121" s="1">
        <v>6536.54</v>
      </c>
      <c r="AE121" s="1">
        <v>4576.96</v>
      </c>
      <c r="AF121" s="1">
        <v>9477.56</v>
      </c>
      <c r="AG121" s="1">
        <v>8564.39</v>
      </c>
      <c r="AH121" s="1">
        <v>16797.6</v>
      </c>
      <c r="AI121" s="1">
        <v>7145.15</v>
      </c>
      <c r="AJ121" s="6">
        <f t="shared" si="29"/>
        <v>554685.6599999999</v>
      </c>
      <c r="AK121" s="1"/>
      <c r="AL121" s="1"/>
      <c r="AM121" s="1"/>
      <c r="AN121" s="1"/>
      <c r="AO121" s="6">
        <f t="shared" si="30"/>
        <v>554685.6599999999</v>
      </c>
      <c r="AP121" s="136">
        <f t="shared" si="33"/>
        <v>-104359.26921532466</v>
      </c>
      <c r="AQ121" s="110"/>
      <c r="AR121" s="110">
        <v>57086.57</v>
      </c>
      <c r="AS121" s="111"/>
      <c r="AT121" s="111">
        <f t="shared" si="28"/>
        <v>-47272.69921532466</v>
      </c>
      <c r="AU121" s="121"/>
      <c r="AV121" s="111"/>
      <c r="AW121" s="111"/>
      <c r="AX121" s="111"/>
      <c r="AY121" s="116"/>
      <c r="AZ121" s="172">
        <f t="shared" si="31"/>
        <v>0</v>
      </c>
      <c r="BA121" s="130">
        <v>76752.79</v>
      </c>
    </row>
    <row r="122" spans="1:53" ht="12" customHeight="1">
      <c r="A122" s="1">
        <v>111</v>
      </c>
      <c r="B122" s="1" t="s">
        <v>128</v>
      </c>
      <c r="C122" s="1">
        <v>479.1</v>
      </c>
      <c r="D122" s="1">
        <v>0</v>
      </c>
      <c r="E122" s="7">
        <f aca="true" t="shared" si="34" ref="E122:E175">C122+D122</f>
        <v>479.1</v>
      </c>
      <c r="F122" s="5">
        <v>2.9</v>
      </c>
      <c r="G122" s="5">
        <v>4.64</v>
      </c>
      <c r="H122" s="5">
        <f t="shared" si="19"/>
        <v>7.539999999999999</v>
      </c>
      <c r="I122" s="28">
        <f t="shared" si="20"/>
        <v>21674.483999999997</v>
      </c>
      <c r="J122" s="5">
        <f t="shared" si="21"/>
        <v>3.101611830899999</v>
      </c>
      <c r="K122" s="5">
        <f t="shared" si="22"/>
        <v>4.962578929439999</v>
      </c>
      <c r="L122" s="27">
        <f t="shared" si="23"/>
        <v>8.064190760339999</v>
      </c>
      <c r="M122" s="61">
        <f t="shared" si="24"/>
        <v>23181.322759673363</v>
      </c>
      <c r="N122" s="34">
        <f t="shared" si="25"/>
        <v>44855.80675967336</v>
      </c>
      <c r="O122" s="34"/>
      <c r="P122" s="34"/>
      <c r="Q122" s="5">
        <f t="shared" si="26"/>
        <v>44855.80675967336</v>
      </c>
      <c r="R122" s="30">
        <f t="shared" si="27"/>
        <v>44855.80675967336</v>
      </c>
      <c r="S122" s="1">
        <v>1059.19</v>
      </c>
      <c r="T122" s="1">
        <v>1315.26</v>
      </c>
      <c r="U122" s="1">
        <v>1059.19</v>
      </c>
      <c r="V122" s="1">
        <v>1315.26</v>
      </c>
      <c r="W122" s="1">
        <v>2085.2</v>
      </c>
      <c r="X122" s="1">
        <v>1675.57</v>
      </c>
      <c r="Y122" s="1">
        <v>1633.63</v>
      </c>
      <c r="Z122" s="1">
        <v>4559.09</v>
      </c>
      <c r="AA122" s="1">
        <v>1626.8</v>
      </c>
      <c r="AB122" s="1">
        <v>1048.32</v>
      </c>
      <c r="AC122" s="165">
        <f t="shared" si="32"/>
        <v>17377.51</v>
      </c>
      <c r="AD122" s="1">
        <v>0</v>
      </c>
      <c r="AE122" s="1">
        <v>578.47</v>
      </c>
      <c r="AF122" s="1"/>
      <c r="AG122" s="1">
        <v>4592.48</v>
      </c>
      <c r="AH122" s="1">
        <v>0</v>
      </c>
      <c r="AI122" s="1">
        <v>2942.3</v>
      </c>
      <c r="AJ122" s="6">
        <f t="shared" si="29"/>
        <v>25490.76</v>
      </c>
      <c r="AK122" s="1"/>
      <c r="AL122" s="1"/>
      <c r="AM122" s="1"/>
      <c r="AN122" s="1"/>
      <c r="AO122" s="6">
        <f t="shared" si="30"/>
        <v>25490.76</v>
      </c>
      <c r="AP122" s="91">
        <f t="shared" si="33"/>
        <v>19365.04675967336</v>
      </c>
      <c r="AQ122" s="10"/>
      <c r="AR122" s="10">
        <v>9168.85</v>
      </c>
      <c r="AS122" s="34"/>
      <c r="AT122" s="116">
        <f t="shared" si="28"/>
        <v>28533.896759673364</v>
      </c>
      <c r="AU122" s="134"/>
      <c r="AV122" s="144">
        <v>8893.93</v>
      </c>
      <c r="AW122" s="116"/>
      <c r="AX122" s="116">
        <f>AT122+AU122-AV122-AW122</f>
        <v>19639.966759673363</v>
      </c>
      <c r="AY122" s="134">
        <v>5680.11</v>
      </c>
      <c r="AZ122" s="172">
        <f t="shared" si="31"/>
        <v>13959.856759673363</v>
      </c>
      <c r="BA122" s="127">
        <v>5590.18</v>
      </c>
    </row>
    <row r="123" spans="1:53" ht="12.75" customHeight="1">
      <c r="A123" s="1">
        <v>112</v>
      </c>
      <c r="B123" s="84" t="s">
        <v>129</v>
      </c>
      <c r="C123" s="1">
        <v>5817.3</v>
      </c>
      <c r="D123" s="1">
        <v>143.1</v>
      </c>
      <c r="E123" s="7">
        <f t="shared" si="34"/>
        <v>5960.400000000001</v>
      </c>
      <c r="F123" s="5">
        <v>2.9</v>
      </c>
      <c r="G123" s="5">
        <v>7.85</v>
      </c>
      <c r="H123" s="5">
        <f t="shared" si="19"/>
        <v>10.75</v>
      </c>
      <c r="I123" s="28">
        <f t="shared" si="20"/>
        <v>384445.80000000005</v>
      </c>
      <c r="J123" s="5">
        <f t="shared" si="21"/>
        <v>3.101611830899999</v>
      </c>
      <c r="K123" s="5">
        <f t="shared" si="22"/>
        <v>8.395742369849998</v>
      </c>
      <c r="L123" s="27">
        <f t="shared" si="23"/>
        <v>11.497354200749998</v>
      </c>
      <c r="M123" s="61">
        <f t="shared" si="24"/>
        <v>411172.9798689017</v>
      </c>
      <c r="N123" s="34">
        <f t="shared" si="25"/>
        <v>795618.7798689017</v>
      </c>
      <c r="O123" s="34">
        <v>150885.77</v>
      </c>
      <c r="P123" s="34"/>
      <c r="Q123" s="5">
        <f t="shared" si="26"/>
        <v>644733.0098689017</v>
      </c>
      <c r="R123" s="30">
        <f t="shared" si="27"/>
        <v>644733.0098689017</v>
      </c>
      <c r="S123" s="1">
        <v>41091.42</v>
      </c>
      <c r="T123" s="1">
        <v>69188.77</v>
      </c>
      <c r="U123" s="1">
        <v>34693.13</v>
      </c>
      <c r="V123" s="1">
        <v>34247.08</v>
      </c>
      <c r="W123" s="1">
        <v>31319.54</v>
      </c>
      <c r="X123" s="1">
        <v>45254.23</v>
      </c>
      <c r="Y123" s="1">
        <v>36318.9</v>
      </c>
      <c r="Z123" s="1">
        <v>189585.47</v>
      </c>
      <c r="AA123" s="1">
        <v>33762.44</v>
      </c>
      <c r="AB123" s="1">
        <v>19695.39</v>
      </c>
      <c r="AC123" s="165">
        <f t="shared" si="32"/>
        <v>535156.37</v>
      </c>
      <c r="AD123" s="1">
        <v>33735.66</v>
      </c>
      <c r="AE123" s="1">
        <v>18218.54</v>
      </c>
      <c r="AF123" s="1">
        <v>114044.48</v>
      </c>
      <c r="AG123" s="1">
        <v>19222.41</v>
      </c>
      <c r="AH123" s="1">
        <v>21128</v>
      </c>
      <c r="AI123" s="1">
        <v>29816.13</v>
      </c>
      <c r="AJ123" s="6">
        <f t="shared" si="29"/>
        <v>771321.5900000001</v>
      </c>
      <c r="AK123" s="1"/>
      <c r="AL123" s="1"/>
      <c r="AM123" s="1"/>
      <c r="AN123" s="1"/>
      <c r="AO123" s="6">
        <f t="shared" si="30"/>
        <v>771321.5900000001</v>
      </c>
      <c r="AP123" s="136">
        <f t="shared" si="33"/>
        <v>-126588.5801310984</v>
      </c>
      <c r="AQ123" s="110"/>
      <c r="AR123" s="110"/>
      <c r="AS123" s="111"/>
      <c r="AT123" s="111">
        <f t="shared" si="28"/>
        <v>-126588.5801310984</v>
      </c>
      <c r="AU123" s="121"/>
      <c r="AV123" s="111"/>
      <c r="AW123" s="111"/>
      <c r="AX123" s="111"/>
      <c r="AY123" s="116"/>
      <c r="AZ123" s="172">
        <f t="shared" si="31"/>
        <v>0</v>
      </c>
      <c r="BA123" s="130">
        <v>144343.99</v>
      </c>
    </row>
    <row r="124" spans="1:53" ht="12.75">
      <c r="A124" s="1">
        <v>113</v>
      </c>
      <c r="B124" s="1" t="s">
        <v>130</v>
      </c>
      <c r="C124" s="1">
        <v>885.2</v>
      </c>
      <c r="D124" s="1">
        <v>95.7</v>
      </c>
      <c r="E124" s="7">
        <f t="shared" si="34"/>
        <v>980.9000000000001</v>
      </c>
      <c r="F124" s="5">
        <v>2.9</v>
      </c>
      <c r="G124" s="5">
        <v>7.85</v>
      </c>
      <c r="H124" s="5">
        <f t="shared" si="19"/>
        <v>10.75</v>
      </c>
      <c r="I124" s="28">
        <f t="shared" si="20"/>
        <v>63268.05</v>
      </c>
      <c r="J124" s="5">
        <f t="shared" si="21"/>
        <v>3.101611830899999</v>
      </c>
      <c r="K124" s="5">
        <f t="shared" si="22"/>
        <v>8.395742369849998</v>
      </c>
      <c r="L124" s="27">
        <f t="shared" si="23"/>
        <v>11.497354200749998</v>
      </c>
      <c r="M124" s="61">
        <f t="shared" si="24"/>
        <v>67666.52841309404</v>
      </c>
      <c r="N124" s="34">
        <f t="shared" si="25"/>
        <v>130934.57841309404</v>
      </c>
      <c r="O124" s="34">
        <v>89198.13</v>
      </c>
      <c r="P124" s="34"/>
      <c r="Q124" s="5">
        <f t="shared" si="26"/>
        <v>41736.44841309404</v>
      </c>
      <c r="R124" s="30">
        <f t="shared" si="27"/>
        <v>41736.44841309404</v>
      </c>
      <c r="S124" s="1">
        <v>7138.57</v>
      </c>
      <c r="T124" s="1">
        <v>1982.14</v>
      </c>
      <c r="U124" s="1">
        <v>6650.49</v>
      </c>
      <c r="V124" s="1">
        <v>2665</v>
      </c>
      <c r="W124" s="1">
        <v>3049.67</v>
      </c>
      <c r="X124" s="1">
        <v>30957.58</v>
      </c>
      <c r="Y124" s="1">
        <v>4738.49</v>
      </c>
      <c r="Z124" s="1">
        <v>2109.63</v>
      </c>
      <c r="AA124" s="1">
        <v>2321.74</v>
      </c>
      <c r="AB124" s="1">
        <v>32217.55</v>
      </c>
      <c r="AC124" s="165">
        <f t="shared" si="32"/>
        <v>93830.85999999999</v>
      </c>
      <c r="AD124" s="1">
        <v>0</v>
      </c>
      <c r="AE124" s="1">
        <v>3488.97</v>
      </c>
      <c r="AF124" s="1"/>
      <c r="AG124" s="1">
        <v>9891.95</v>
      </c>
      <c r="AH124" s="1">
        <v>0</v>
      </c>
      <c r="AI124" s="1">
        <v>2481.66</v>
      </c>
      <c r="AJ124" s="6">
        <f t="shared" si="29"/>
        <v>109693.43999999999</v>
      </c>
      <c r="AK124" s="1"/>
      <c r="AL124" s="1"/>
      <c r="AM124" s="1"/>
      <c r="AN124" s="1"/>
      <c r="AO124" s="6">
        <f t="shared" si="30"/>
        <v>109693.43999999999</v>
      </c>
      <c r="AP124" s="136">
        <f t="shared" si="33"/>
        <v>-67956.99158690595</v>
      </c>
      <c r="AQ124" s="110"/>
      <c r="AR124" s="110"/>
      <c r="AS124" s="111"/>
      <c r="AT124" s="111">
        <f t="shared" si="28"/>
        <v>-67956.99158690595</v>
      </c>
      <c r="AU124" s="121">
        <v>3674</v>
      </c>
      <c r="AV124" s="111"/>
      <c r="AW124" s="111"/>
      <c r="AX124" s="111">
        <f>AU124-AV124-AW124</f>
        <v>3674</v>
      </c>
      <c r="AY124" s="116">
        <v>1062.56</v>
      </c>
      <c r="AZ124" s="172">
        <f t="shared" si="31"/>
        <v>2611.44</v>
      </c>
      <c r="BA124" s="130">
        <v>14324.03</v>
      </c>
    </row>
    <row r="125" spans="1:53" ht="12.75">
      <c r="A125" s="1">
        <v>114</v>
      </c>
      <c r="B125" s="1" t="s">
        <v>131</v>
      </c>
      <c r="C125" s="1">
        <v>4488.1</v>
      </c>
      <c r="D125" s="1">
        <v>84.4</v>
      </c>
      <c r="E125" s="7">
        <f t="shared" si="34"/>
        <v>4572.5</v>
      </c>
      <c r="F125" s="5">
        <v>2.9</v>
      </c>
      <c r="G125" s="5">
        <v>7.35</v>
      </c>
      <c r="H125" s="5">
        <f t="shared" si="19"/>
        <v>10.25</v>
      </c>
      <c r="I125" s="28">
        <f t="shared" si="20"/>
        <v>281208.75</v>
      </c>
      <c r="J125" s="5">
        <f t="shared" si="21"/>
        <v>3.101611830899999</v>
      </c>
      <c r="K125" s="5">
        <f t="shared" si="22"/>
        <v>7.860981709349999</v>
      </c>
      <c r="L125" s="27">
        <f t="shared" si="23"/>
        <v>10.962593540249998</v>
      </c>
      <c r="M125" s="61">
        <f t="shared" si="24"/>
        <v>300758.7537767587</v>
      </c>
      <c r="N125" s="34">
        <f t="shared" si="25"/>
        <v>581967.5037767587</v>
      </c>
      <c r="O125" s="34">
        <v>105321.61</v>
      </c>
      <c r="P125" s="34"/>
      <c r="Q125" s="5">
        <f t="shared" si="26"/>
        <v>476645.8937767587</v>
      </c>
      <c r="R125" s="30">
        <f t="shared" si="27"/>
        <v>476645.8937767587</v>
      </c>
      <c r="S125" s="1">
        <v>33908.29</v>
      </c>
      <c r="T125" s="1">
        <v>21588.44</v>
      </c>
      <c r="U125" s="1">
        <v>22155.98</v>
      </c>
      <c r="V125" s="1">
        <v>78373.64</v>
      </c>
      <c r="W125" s="1">
        <v>59244.23</v>
      </c>
      <c r="X125" s="1">
        <v>71095.9</v>
      </c>
      <c r="Y125" s="1">
        <v>44359.72</v>
      </c>
      <c r="Z125" s="1">
        <v>53617.36</v>
      </c>
      <c r="AA125" s="1">
        <v>38207.26</v>
      </c>
      <c r="AB125" s="1">
        <v>19221.82</v>
      </c>
      <c r="AC125" s="165">
        <f t="shared" si="32"/>
        <v>441772.63999999996</v>
      </c>
      <c r="AD125" s="1">
        <v>0</v>
      </c>
      <c r="AE125" s="1">
        <v>15767.88</v>
      </c>
      <c r="AF125" s="1"/>
      <c r="AG125" s="1">
        <v>25881.66</v>
      </c>
      <c r="AH125" s="1">
        <v>0</v>
      </c>
      <c r="AI125" s="1">
        <v>29427.84</v>
      </c>
      <c r="AJ125" s="6">
        <f t="shared" si="29"/>
        <v>512850.01999999996</v>
      </c>
      <c r="AK125" s="1">
        <v>5725</v>
      </c>
      <c r="AL125" s="1"/>
      <c r="AM125" s="1"/>
      <c r="AN125" s="95">
        <v>52921</v>
      </c>
      <c r="AO125" s="6">
        <f t="shared" si="30"/>
        <v>571496.02</v>
      </c>
      <c r="AP125" s="136">
        <f t="shared" si="33"/>
        <v>-94850.12622324133</v>
      </c>
      <c r="AQ125" s="110"/>
      <c r="AR125" s="110"/>
      <c r="AS125" s="111"/>
      <c r="AT125" s="111">
        <f t="shared" si="28"/>
        <v>-94850.12622324133</v>
      </c>
      <c r="AU125" s="121">
        <v>4394</v>
      </c>
      <c r="AV125" s="111"/>
      <c r="AW125" s="111">
        <v>4071</v>
      </c>
      <c r="AX125" s="111">
        <f>AU125-AV125-AW125</f>
        <v>323</v>
      </c>
      <c r="AY125" s="116">
        <v>93.42</v>
      </c>
      <c r="AZ125" s="172">
        <f t="shared" si="31"/>
        <v>229.57999999999998</v>
      </c>
      <c r="BA125" s="130">
        <v>413645.67</v>
      </c>
    </row>
    <row r="126" spans="1:53" ht="12.75">
      <c r="A126" s="1">
        <v>115</v>
      </c>
      <c r="B126" s="1" t="s">
        <v>132</v>
      </c>
      <c r="C126" s="1">
        <v>4416.5</v>
      </c>
      <c r="D126" s="1">
        <v>96.8</v>
      </c>
      <c r="E126" s="7">
        <f t="shared" si="34"/>
        <v>4513.3</v>
      </c>
      <c r="F126" s="5">
        <v>2.9</v>
      </c>
      <c r="G126" s="5">
        <v>7.35</v>
      </c>
      <c r="H126" s="5">
        <f t="shared" si="19"/>
        <v>10.25</v>
      </c>
      <c r="I126" s="28">
        <f t="shared" si="20"/>
        <v>277567.95</v>
      </c>
      <c r="J126" s="5">
        <f t="shared" si="21"/>
        <v>3.101611830899999</v>
      </c>
      <c r="K126" s="5">
        <f t="shared" si="22"/>
        <v>7.860981709349999</v>
      </c>
      <c r="L126" s="27">
        <f t="shared" si="23"/>
        <v>10.962593540249998</v>
      </c>
      <c r="M126" s="61">
        <f t="shared" si="24"/>
        <v>296864.8405512619</v>
      </c>
      <c r="N126" s="34">
        <f t="shared" si="25"/>
        <v>574432.790551262</v>
      </c>
      <c r="O126" s="34">
        <v>105298.7</v>
      </c>
      <c r="P126" s="34"/>
      <c r="Q126" s="5">
        <f t="shared" si="26"/>
        <v>469134.09055126196</v>
      </c>
      <c r="R126" s="30">
        <f t="shared" si="27"/>
        <v>469134.09055126196</v>
      </c>
      <c r="S126" s="1">
        <v>41213.76</v>
      </c>
      <c r="T126" s="1">
        <v>30614.05</v>
      </c>
      <c r="U126" s="1">
        <v>31479.12</v>
      </c>
      <c r="V126" s="1">
        <v>81806.49</v>
      </c>
      <c r="W126" s="1">
        <v>78593.83</v>
      </c>
      <c r="X126" s="1">
        <v>43334.61</v>
      </c>
      <c r="Y126" s="1">
        <v>138990.55</v>
      </c>
      <c r="Z126" s="1">
        <v>27390.65</v>
      </c>
      <c r="AA126" s="1">
        <v>31276.96</v>
      </c>
      <c r="AB126" s="1">
        <v>23277.13</v>
      </c>
      <c r="AC126" s="165">
        <f t="shared" si="32"/>
        <v>527977.15</v>
      </c>
      <c r="AD126" s="1">
        <v>0</v>
      </c>
      <c r="AE126" s="1">
        <v>29820.35</v>
      </c>
      <c r="AF126" s="1"/>
      <c r="AG126" s="1">
        <v>39170.12</v>
      </c>
      <c r="AH126" s="1">
        <v>0</v>
      </c>
      <c r="AI126" s="1">
        <v>28164.04</v>
      </c>
      <c r="AJ126" s="6">
        <f t="shared" si="29"/>
        <v>625131.66</v>
      </c>
      <c r="AK126" s="1">
        <f>684+986+1750</f>
        <v>3420</v>
      </c>
      <c r="AL126" s="1"/>
      <c r="AM126" s="1"/>
      <c r="AN126" s="95">
        <v>41569</v>
      </c>
      <c r="AO126" s="6">
        <f t="shared" si="30"/>
        <v>670120.66</v>
      </c>
      <c r="AP126" s="136">
        <f t="shared" si="33"/>
        <v>-200986.56944873807</v>
      </c>
      <c r="AQ126" s="110"/>
      <c r="AR126" s="110"/>
      <c r="AS126" s="111"/>
      <c r="AT126" s="111">
        <f t="shared" si="28"/>
        <v>-200986.56944873807</v>
      </c>
      <c r="AU126" s="121">
        <v>2231</v>
      </c>
      <c r="AV126" s="111"/>
      <c r="AW126" s="111">
        <f>1164+664</f>
        <v>1828</v>
      </c>
      <c r="AX126" s="111">
        <f>AU126-AV126-AW126</f>
        <v>403</v>
      </c>
      <c r="AY126" s="116">
        <v>116.55</v>
      </c>
      <c r="AZ126" s="172">
        <f t="shared" si="31"/>
        <v>286.45</v>
      </c>
      <c r="BA126" s="130">
        <v>249127.42</v>
      </c>
    </row>
    <row r="127" spans="1:53" ht="12.75" customHeight="1">
      <c r="A127" s="1">
        <v>116</v>
      </c>
      <c r="B127" s="1" t="s">
        <v>133</v>
      </c>
      <c r="C127" s="1">
        <v>5243.3</v>
      </c>
      <c r="D127" s="1">
        <v>0</v>
      </c>
      <c r="E127" s="7">
        <f t="shared" si="34"/>
        <v>5243.3</v>
      </c>
      <c r="F127" s="5">
        <v>2.9</v>
      </c>
      <c r="G127" s="5">
        <v>7.65</v>
      </c>
      <c r="H127" s="5">
        <f t="shared" si="19"/>
        <v>10.55</v>
      </c>
      <c r="I127" s="28">
        <f t="shared" si="20"/>
        <v>331900.89</v>
      </c>
      <c r="J127" s="5">
        <f t="shared" si="21"/>
        <v>3.101611830899999</v>
      </c>
      <c r="K127" s="5">
        <f t="shared" si="22"/>
        <v>8.181838105649998</v>
      </c>
      <c r="L127" s="27">
        <f t="shared" si="23"/>
        <v>11.283449936549998</v>
      </c>
      <c r="M127" s="61">
        <f t="shared" si="24"/>
        <v>354975.07831387565</v>
      </c>
      <c r="N127" s="34">
        <f t="shared" si="25"/>
        <v>686875.9683138756</v>
      </c>
      <c r="O127" s="34">
        <v>65908.35</v>
      </c>
      <c r="P127" s="34"/>
      <c r="Q127" s="5">
        <f t="shared" si="26"/>
        <v>620967.6183138756</v>
      </c>
      <c r="R127" s="30">
        <f t="shared" si="27"/>
        <v>620967.6183138756</v>
      </c>
      <c r="S127" s="1">
        <v>36650.55</v>
      </c>
      <c r="T127" s="1">
        <v>36132.39</v>
      </c>
      <c r="U127" s="1">
        <v>47664.12</v>
      </c>
      <c r="V127" s="1">
        <v>25470.25</v>
      </c>
      <c r="W127" s="1">
        <v>31840.47</v>
      </c>
      <c r="X127" s="1">
        <v>69216.68</v>
      </c>
      <c r="Y127" s="1">
        <v>54350.55</v>
      </c>
      <c r="Z127" s="1">
        <v>31578.46</v>
      </c>
      <c r="AA127" s="1">
        <v>28149.43</v>
      </c>
      <c r="AB127" s="1">
        <v>16803.07</v>
      </c>
      <c r="AC127" s="165">
        <f t="shared" si="32"/>
        <v>377855.97000000003</v>
      </c>
      <c r="AD127" s="1">
        <v>0</v>
      </c>
      <c r="AE127" s="1">
        <v>29912.93</v>
      </c>
      <c r="AF127" s="1"/>
      <c r="AG127" s="1">
        <v>50480.46</v>
      </c>
      <c r="AH127" s="1">
        <v>0</v>
      </c>
      <c r="AI127" s="1">
        <v>57161.55</v>
      </c>
      <c r="AJ127" s="6">
        <f t="shared" si="29"/>
        <v>515410.91000000003</v>
      </c>
      <c r="AK127" s="1">
        <f>5142.5+9722</f>
        <v>14864.5</v>
      </c>
      <c r="AL127" s="1"/>
      <c r="AM127" s="1"/>
      <c r="AN127" s="1"/>
      <c r="AO127" s="6">
        <f t="shared" si="30"/>
        <v>530275.41</v>
      </c>
      <c r="AP127" s="91">
        <f t="shared" si="33"/>
        <v>90692.2083138756</v>
      </c>
      <c r="AQ127" s="10"/>
      <c r="AR127" s="10"/>
      <c r="AS127" s="34"/>
      <c r="AT127" s="116">
        <f t="shared" si="28"/>
        <v>90692.2083138756</v>
      </c>
      <c r="AU127" s="116"/>
      <c r="AV127" s="144">
        <v>90692.21</v>
      </c>
      <c r="AW127" s="116"/>
      <c r="AX127" s="116">
        <f aca="true" t="shared" si="35" ref="AX127:AX132">AT127+AU127-AV127-AW127</f>
        <v>-0.0016861244075698778</v>
      </c>
      <c r="AY127" s="116"/>
      <c r="AZ127" s="172">
        <f t="shared" si="31"/>
        <v>-0.0016861244075698778</v>
      </c>
      <c r="BA127" s="130">
        <v>290497.02</v>
      </c>
    </row>
    <row r="128" spans="1:53" ht="12.75">
      <c r="A128" s="1">
        <v>117</v>
      </c>
      <c r="B128" s="1" t="s">
        <v>134</v>
      </c>
      <c r="C128" s="1">
        <v>2521</v>
      </c>
      <c r="D128" s="1">
        <v>0</v>
      </c>
      <c r="E128" s="7">
        <f t="shared" si="34"/>
        <v>2521</v>
      </c>
      <c r="F128" s="5">
        <v>2.9</v>
      </c>
      <c r="G128" s="5">
        <v>7.85</v>
      </c>
      <c r="H128" s="5">
        <f t="shared" si="19"/>
        <v>10.75</v>
      </c>
      <c r="I128" s="28">
        <f t="shared" si="20"/>
        <v>162604.5</v>
      </c>
      <c r="J128" s="5">
        <f t="shared" si="21"/>
        <v>3.101611830899999</v>
      </c>
      <c r="K128" s="5">
        <f t="shared" si="22"/>
        <v>8.395742369849998</v>
      </c>
      <c r="L128" s="27">
        <f t="shared" si="23"/>
        <v>11.497354200749998</v>
      </c>
      <c r="M128" s="61">
        <f t="shared" si="24"/>
        <v>173908.97964054448</v>
      </c>
      <c r="N128" s="34">
        <f t="shared" si="25"/>
        <v>336513.4796405445</v>
      </c>
      <c r="O128" s="34"/>
      <c r="P128" s="34"/>
      <c r="Q128" s="5">
        <f t="shared" si="26"/>
        <v>336513.4796405445</v>
      </c>
      <c r="R128" s="30">
        <f t="shared" si="27"/>
        <v>336513.4796405445</v>
      </c>
      <c r="S128" s="1">
        <v>13168.74</v>
      </c>
      <c r="T128" s="1">
        <v>13308.9</v>
      </c>
      <c r="U128" s="1">
        <v>18809.61</v>
      </c>
      <c r="V128" s="1">
        <v>16484.46</v>
      </c>
      <c r="W128" s="1">
        <v>13433.33</v>
      </c>
      <c r="X128" s="1">
        <v>19527.2</v>
      </c>
      <c r="Y128" s="1">
        <v>22379.65</v>
      </c>
      <c r="Z128" s="1">
        <v>17689.21</v>
      </c>
      <c r="AA128" s="1">
        <v>16491.47</v>
      </c>
      <c r="AB128" s="1">
        <v>5278.09</v>
      </c>
      <c r="AC128" s="165">
        <f t="shared" si="32"/>
        <v>156570.65999999997</v>
      </c>
      <c r="AD128" s="1">
        <v>0</v>
      </c>
      <c r="AE128" s="1">
        <v>8669.62</v>
      </c>
      <c r="AF128" s="1"/>
      <c r="AG128" s="1">
        <v>22206.27</v>
      </c>
      <c r="AH128" s="1">
        <v>0</v>
      </c>
      <c r="AI128" s="1">
        <v>30758.24</v>
      </c>
      <c r="AJ128" s="6">
        <f t="shared" si="29"/>
        <v>218204.78999999995</v>
      </c>
      <c r="AK128" s="1"/>
      <c r="AL128" s="1"/>
      <c r="AM128" s="1"/>
      <c r="AN128" s="1"/>
      <c r="AO128" s="6">
        <f t="shared" si="30"/>
        <v>218204.78999999995</v>
      </c>
      <c r="AP128" s="91">
        <f t="shared" si="33"/>
        <v>118308.68964054456</v>
      </c>
      <c r="AQ128" s="10">
        <v>36765.79</v>
      </c>
      <c r="AR128" s="10">
        <v>91665.22</v>
      </c>
      <c r="AS128" s="34"/>
      <c r="AT128" s="116">
        <f t="shared" si="28"/>
        <v>246739.69964054457</v>
      </c>
      <c r="AU128" s="116"/>
      <c r="AV128" s="116">
        <f>1688.74*4</f>
        <v>6754.96</v>
      </c>
      <c r="AW128" s="116">
        <v>280</v>
      </c>
      <c r="AX128" s="116">
        <f>AT128+AU128-AV128-AW128</f>
        <v>239704.73964054458</v>
      </c>
      <c r="AY128" s="116">
        <v>69325.44</v>
      </c>
      <c r="AZ128" s="172">
        <f t="shared" si="31"/>
        <v>170379.29964054457</v>
      </c>
      <c r="BA128" s="130">
        <v>145742.71</v>
      </c>
    </row>
    <row r="129" spans="1:53" ht="12.75">
      <c r="A129" s="1">
        <v>118</v>
      </c>
      <c r="B129" s="84" t="s">
        <v>135</v>
      </c>
      <c r="C129" s="1">
        <v>6039.6</v>
      </c>
      <c r="D129" s="1">
        <v>0</v>
      </c>
      <c r="E129" s="7">
        <f t="shared" si="34"/>
        <v>6039.6</v>
      </c>
      <c r="F129" s="5">
        <v>2.9</v>
      </c>
      <c r="G129" s="5">
        <v>7.85</v>
      </c>
      <c r="H129" s="5">
        <f t="shared" si="19"/>
        <v>10.75</v>
      </c>
      <c r="I129" s="28">
        <f t="shared" si="20"/>
        <v>389554.2</v>
      </c>
      <c r="J129" s="5">
        <f t="shared" si="21"/>
        <v>3.101611830899999</v>
      </c>
      <c r="K129" s="5">
        <f t="shared" si="22"/>
        <v>8.395742369849998</v>
      </c>
      <c r="L129" s="27">
        <f t="shared" si="23"/>
        <v>11.497354200749998</v>
      </c>
      <c r="M129" s="61">
        <f t="shared" si="24"/>
        <v>416636.5225850981</v>
      </c>
      <c r="N129" s="34">
        <f t="shared" si="25"/>
        <v>806190.7225850981</v>
      </c>
      <c r="O129" s="34"/>
      <c r="P129" s="34"/>
      <c r="Q129" s="5">
        <f t="shared" si="26"/>
        <v>806190.7225850981</v>
      </c>
      <c r="R129" s="30">
        <f t="shared" si="27"/>
        <v>806190.7225850981</v>
      </c>
      <c r="S129" s="1">
        <v>44927.05</v>
      </c>
      <c r="T129" s="1">
        <v>38967.76</v>
      </c>
      <c r="U129" s="1">
        <v>36631.9</v>
      </c>
      <c r="V129" s="1">
        <v>39585.03</v>
      </c>
      <c r="W129" s="1">
        <v>42524.04</v>
      </c>
      <c r="X129" s="1">
        <v>39146.65</v>
      </c>
      <c r="Y129" s="1">
        <v>32214.47</v>
      </c>
      <c r="Z129" s="1">
        <v>100203.98</v>
      </c>
      <c r="AA129" s="1">
        <v>98121.01</v>
      </c>
      <c r="AB129" s="1">
        <v>23784.17</v>
      </c>
      <c r="AC129" s="165">
        <f t="shared" si="32"/>
        <v>496106.06</v>
      </c>
      <c r="AD129" s="1">
        <v>11038.61</v>
      </c>
      <c r="AE129" s="1">
        <v>9960.41</v>
      </c>
      <c r="AF129" s="1">
        <v>20807.99</v>
      </c>
      <c r="AG129" s="1">
        <v>21969.42</v>
      </c>
      <c r="AH129" s="1">
        <v>29990.35</v>
      </c>
      <c r="AI129" s="1">
        <v>23635.18</v>
      </c>
      <c r="AJ129" s="6">
        <f t="shared" si="29"/>
        <v>613508.02</v>
      </c>
      <c r="AK129" s="1"/>
      <c r="AL129" s="1"/>
      <c r="AM129" s="1"/>
      <c r="AN129" s="1"/>
      <c r="AO129" s="6">
        <f t="shared" si="30"/>
        <v>613508.02</v>
      </c>
      <c r="AP129" s="91">
        <f t="shared" si="33"/>
        <v>192682.7025850981</v>
      </c>
      <c r="AQ129" s="10">
        <v>25207.88</v>
      </c>
      <c r="AR129" s="10">
        <v>196860.4</v>
      </c>
      <c r="AS129" s="34"/>
      <c r="AT129" s="116">
        <f t="shared" si="28"/>
        <v>414750.9825850981</v>
      </c>
      <c r="AU129" s="116">
        <v>2231</v>
      </c>
      <c r="AV129" s="116"/>
      <c r="AW129" s="116"/>
      <c r="AX129" s="116">
        <f t="shared" si="35"/>
        <v>416981.9825850981</v>
      </c>
      <c r="AY129" s="116">
        <v>120596.11</v>
      </c>
      <c r="AZ129" s="172">
        <f t="shared" si="31"/>
        <v>296385.87258509814</v>
      </c>
      <c r="BA129" s="130">
        <v>181688.37</v>
      </c>
    </row>
    <row r="130" spans="1:53" ht="12.75">
      <c r="A130" s="1">
        <v>119</v>
      </c>
      <c r="B130" s="84" t="s">
        <v>136</v>
      </c>
      <c r="C130" s="1">
        <v>505</v>
      </c>
      <c r="D130" s="1">
        <v>115.3</v>
      </c>
      <c r="E130" s="7">
        <f t="shared" si="34"/>
        <v>620.3</v>
      </c>
      <c r="F130" s="5">
        <v>2.9</v>
      </c>
      <c r="G130" s="5">
        <v>6.98</v>
      </c>
      <c r="H130" s="5">
        <f t="shared" si="19"/>
        <v>9.88</v>
      </c>
      <c r="I130" s="28">
        <f t="shared" si="20"/>
        <v>36771.384000000005</v>
      </c>
      <c r="J130" s="5">
        <f t="shared" si="21"/>
        <v>3.101611830899999</v>
      </c>
      <c r="K130" s="5">
        <f t="shared" si="22"/>
        <v>7.465258820579999</v>
      </c>
      <c r="L130" s="27">
        <f t="shared" si="23"/>
        <v>10.566870651479999</v>
      </c>
      <c r="M130" s="61">
        <f t="shared" si="24"/>
        <v>39327.77919067826</v>
      </c>
      <c r="N130" s="34">
        <f t="shared" si="25"/>
        <v>76099.16319067826</v>
      </c>
      <c r="O130" s="34"/>
      <c r="P130" s="34"/>
      <c r="Q130" s="5">
        <f t="shared" si="26"/>
        <v>76099.16319067826</v>
      </c>
      <c r="R130" s="30">
        <f t="shared" si="27"/>
        <v>76099.16319067826</v>
      </c>
      <c r="S130" s="1">
        <v>3011.26</v>
      </c>
      <c r="T130" s="1">
        <v>3011.26</v>
      </c>
      <c r="U130" s="1">
        <v>2755.19</v>
      </c>
      <c r="V130" s="1">
        <v>3011.26</v>
      </c>
      <c r="W130" s="1">
        <v>3011.26</v>
      </c>
      <c r="X130" s="1">
        <v>5388.7</v>
      </c>
      <c r="Y130" s="1">
        <v>2934.87</v>
      </c>
      <c r="Z130" s="1">
        <v>2934.87</v>
      </c>
      <c r="AA130" s="1">
        <v>2934.87</v>
      </c>
      <c r="AB130" s="1">
        <v>1244.96</v>
      </c>
      <c r="AC130" s="165">
        <f t="shared" si="32"/>
        <v>30238.499999999996</v>
      </c>
      <c r="AD130" s="1">
        <v>941.79</v>
      </c>
      <c r="AE130" s="1">
        <v>748.12</v>
      </c>
      <c r="AF130" s="1">
        <v>4154.47</v>
      </c>
      <c r="AG130" s="1">
        <v>1398.26</v>
      </c>
      <c r="AH130" s="1">
        <v>6551.05</v>
      </c>
      <c r="AI130" s="1">
        <v>1398.26</v>
      </c>
      <c r="AJ130" s="6">
        <f t="shared" si="29"/>
        <v>45430.450000000004</v>
      </c>
      <c r="AK130" s="1"/>
      <c r="AL130" s="1"/>
      <c r="AM130" s="1"/>
      <c r="AN130" s="1"/>
      <c r="AO130" s="6">
        <f t="shared" si="30"/>
        <v>45430.450000000004</v>
      </c>
      <c r="AP130" s="91">
        <f t="shared" si="33"/>
        <v>30668.713190678252</v>
      </c>
      <c r="AQ130" s="10">
        <v>6877.25</v>
      </c>
      <c r="AR130" s="10">
        <v>8018.94</v>
      </c>
      <c r="AS130" s="34"/>
      <c r="AT130" s="116">
        <f t="shared" si="28"/>
        <v>45564.903190678255</v>
      </c>
      <c r="AU130" s="116"/>
      <c r="AV130" s="116"/>
      <c r="AW130" s="116"/>
      <c r="AX130" s="116">
        <f t="shared" si="35"/>
        <v>45564.903190678255</v>
      </c>
      <c r="AY130" s="116">
        <v>13177.91</v>
      </c>
      <c r="AZ130" s="172">
        <f t="shared" si="31"/>
        <v>32386.993190678255</v>
      </c>
      <c r="BA130" s="130">
        <v>88402.09</v>
      </c>
    </row>
    <row r="131" spans="1:53" ht="12.75">
      <c r="A131" s="1">
        <v>120</v>
      </c>
      <c r="B131" s="84" t="s">
        <v>137</v>
      </c>
      <c r="C131" s="1">
        <v>473.8</v>
      </c>
      <c r="D131" s="1">
        <v>0</v>
      </c>
      <c r="E131" s="7">
        <f t="shared" si="34"/>
        <v>473.8</v>
      </c>
      <c r="F131" s="5">
        <v>2.9</v>
      </c>
      <c r="G131" s="5">
        <v>6.98</v>
      </c>
      <c r="H131" s="5">
        <f t="shared" si="19"/>
        <v>9.88</v>
      </c>
      <c r="I131" s="28">
        <f t="shared" si="20"/>
        <v>28086.864</v>
      </c>
      <c r="J131" s="5">
        <f t="shared" si="21"/>
        <v>3.101611830899999</v>
      </c>
      <c r="K131" s="5">
        <f t="shared" si="22"/>
        <v>7.465258820579999</v>
      </c>
      <c r="L131" s="27">
        <f t="shared" si="23"/>
        <v>10.566870651479999</v>
      </c>
      <c r="M131" s="61">
        <f t="shared" si="24"/>
        <v>30039.49988802734</v>
      </c>
      <c r="N131" s="34">
        <f t="shared" si="25"/>
        <v>58126.36388802734</v>
      </c>
      <c r="O131" s="34"/>
      <c r="P131" s="34"/>
      <c r="Q131" s="5">
        <f t="shared" si="26"/>
        <v>58126.36388802734</v>
      </c>
      <c r="R131" s="30">
        <f t="shared" si="27"/>
        <v>58126.36388802734</v>
      </c>
      <c r="S131" s="1">
        <v>2404.73</v>
      </c>
      <c r="T131" s="1">
        <v>4114.68</v>
      </c>
      <c r="U131" s="1">
        <v>2148.66</v>
      </c>
      <c r="V131" s="1">
        <v>2404.73</v>
      </c>
      <c r="W131" s="1">
        <v>2404.73</v>
      </c>
      <c r="X131" s="1">
        <v>2404.73</v>
      </c>
      <c r="Y131" s="1">
        <v>2286.06</v>
      </c>
      <c r="Z131" s="1">
        <v>2286.06</v>
      </c>
      <c r="AA131" s="1">
        <v>10292.04</v>
      </c>
      <c r="AB131" s="1">
        <v>993.81</v>
      </c>
      <c r="AC131" s="165">
        <f t="shared" si="32"/>
        <v>31740.230000000003</v>
      </c>
      <c r="AD131" s="1">
        <v>720.18</v>
      </c>
      <c r="AE131" s="1">
        <v>572.08</v>
      </c>
      <c r="AF131" s="1">
        <v>3792.88</v>
      </c>
      <c r="AG131" s="1">
        <v>1111.04</v>
      </c>
      <c r="AH131" s="1">
        <v>2837.52</v>
      </c>
      <c r="AI131" s="1">
        <v>1111.04</v>
      </c>
      <c r="AJ131" s="6">
        <f t="shared" si="29"/>
        <v>41884.97</v>
      </c>
      <c r="AK131" s="1"/>
      <c r="AL131" s="1"/>
      <c r="AM131" s="1"/>
      <c r="AN131" s="1"/>
      <c r="AO131" s="6">
        <f t="shared" si="30"/>
        <v>41884.97</v>
      </c>
      <c r="AP131" s="91">
        <f t="shared" si="33"/>
        <v>16241.393888027342</v>
      </c>
      <c r="AQ131" s="10">
        <v>21708.23</v>
      </c>
      <c r="AR131" s="10">
        <v>15738.56</v>
      </c>
      <c r="AS131" s="34"/>
      <c r="AT131" s="116">
        <f t="shared" si="28"/>
        <v>53688.18388802734</v>
      </c>
      <c r="AU131" s="116"/>
      <c r="AV131" s="116"/>
      <c r="AW131" s="116"/>
      <c r="AX131" s="116">
        <f t="shared" si="35"/>
        <v>53688.18388802734</v>
      </c>
      <c r="AY131" s="116">
        <v>15527.25</v>
      </c>
      <c r="AZ131" s="172">
        <f t="shared" si="31"/>
        <v>38160.93388802734</v>
      </c>
      <c r="BA131" s="130">
        <v>25443.78</v>
      </c>
    </row>
    <row r="132" spans="1:53" ht="12.75">
      <c r="A132" s="1">
        <v>121</v>
      </c>
      <c r="B132" s="1" t="s">
        <v>138</v>
      </c>
      <c r="C132" s="1">
        <v>2772.5</v>
      </c>
      <c r="D132" s="1">
        <v>767</v>
      </c>
      <c r="E132" s="7">
        <f t="shared" si="34"/>
        <v>3539.5</v>
      </c>
      <c r="F132" s="5">
        <v>2.9</v>
      </c>
      <c r="G132" s="5">
        <v>7.29</v>
      </c>
      <c r="H132" s="5">
        <f t="shared" si="19"/>
        <v>10.19</v>
      </c>
      <c r="I132" s="28">
        <f t="shared" si="20"/>
        <v>216405.02999999997</v>
      </c>
      <c r="J132" s="5">
        <f t="shared" si="21"/>
        <v>3.101611830899999</v>
      </c>
      <c r="K132" s="5">
        <f t="shared" si="22"/>
        <v>7.796810430089998</v>
      </c>
      <c r="L132" s="27">
        <f t="shared" si="23"/>
        <v>10.898422260989998</v>
      </c>
      <c r="M132" s="61">
        <f t="shared" si="24"/>
        <v>231449.79355664458</v>
      </c>
      <c r="N132" s="34">
        <f t="shared" si="25"/>
        <v>447854.82355664455</v>
      </c>
      <c r="O132" s="34"/>
      <c r="P132" s="34"/>
      <c r="Q132" s="5">
        <f t="shared" si="26"/>
        <v>447854.82355664455</v>
      </c>
      <c r="R132" s="30">
        <f t="shared" si="27"/>
        <v>447854.82355664455</v>
      </c>
      <c r="S132" s="1">
        <v>22640.8</v>
      </c>
      <c r="T132" s="1">
        <v>20755.24</v>
      </c>
      <c r="U132" s="1">
        <v>43471.29</v>
      </c>
      <c r="V132" s="1">
        <v>143561.14</v>
      </c>
      <c r="W132" s="1">
        <v>40863.99</v>
      </c>
      <c r="X132" s="1">
        <v>20936.18</v>
      </c>
      <c r="Y132" s="1">
        <v>22018.54</v>
      </c>
      <c r="Z132" s="1">
        <v>28881.81</v>
      </c>
      <c r="AA132" s="1">
        <v>16273.83</v>
      </c>
      <c r="AB132" s="1">
        <v>6275.07</v>
      </c>
      <c r="AC132" s="165">
        <f t="shared" si="32"/>
        <v>365677.89</v>
      </c>
      <c r="AD132" s="1">
        <v>0</v>
      </c>
      <c r="AE132" s="1">
        <v>13652.86</v>
      </c>
      <c r="AF132" s="1"/>
      <c r="AG132" s="1">
        <v>33188.5</v>
      </c>
      <c r="AH132" s="1">
        <v>0</v>
      </c>
      <c r="AI132" s="1">
        <v>21844.34</v>
      </c>
      <c r="AJ132" s="6">
        <f t="shared" si="29"/>
        <v>434363.59</v>
      </c>
      <c r="AK132" s="1"/>
      <c r="AL132" s="1"/>
      <c r="AM132" s="1"/>
      <c r="AN132" s="1"/>
      <c r="AO132" s="6">
        <f t="shared" si="30"/>
        <v>434363.59</v>
      </c>
      <c r="AP132" s="91">
        <f t="shared" si="33"/>
        <v>13491.233556644525</v>
      </c>
      <c r="AQ132" s="10">
        <v>17075.94</v>
      </c>
      <c r="AR132" s="10">
        <v>52462.58</v>
      </c>
      <c r="AS132" s="34"/>
      <c r="AT132" s="116">
        <f t="shared" si="28"/>
        <v>83029.75355664453</v>
      </c>
      <c r="AU132" s="116"/>
      <c r="AV132" s="116"/>
      <c r="AW132" s="116"/>
      <c r="AX132" s="116">
        <f t="shared" si="35"/>
        <v>83029.75355664453</v>
      </c>
      <c r="AY132" s="116">
        <v>24013.18</v>
      </c>
      <c r="AZ132" s="172">
        <f t="shared" si="31"/>
        <v>59016.57355664453</v>
      </c>
      <c r="BA132" s="130">
        <v>158146.15</v>
      </c>
    </row>
    <row r="133" spans="1:53" ht="12.75" customHeight="1">
      <c r="A133" s="1">
        <v>122</v>
      </c>
      <c r="B133" s="1" t="s">
        <v>139</v>
      </c>
      <c r="C133" s="1">
        <v>403.6</v>
      </c>
      <c r="D133" s="1">
        <v>0</v>
      </c>
      <c r="E133" s="7">
        <f t="shared" si="34"/>
        <v>403.6</v>
      </c>
      <c r="F133" s="5">
        <v>2.9</v>
      </c>
      <c r="G133" s="5">
        <v>6.98</v>
      </c>
      <c r="H133" s="5">
        <f t="shared" si="19"/>
        <v>9.88</v>
      </c>
      <c r="I133" s="28">
        <f t="shared" si="20"/>
        <v>23925.408000000003</v>
      </c>
      <c r="J133" s="5">
        <f t="shared" si="21"/>
        <v>3.101611830899999</v>
      </c>
      <c r="K133" s="5">
        <f t="shared" si="22"/>
        <v>7.465258820579999</v>
      </c>
      <c r="L133" s="27">
        <f t="shared" si="23"/>
        <v>10.566870651479999</v>
      </c>
      <c r="M133" s="61">
        <f t="shared" si="24"/>
        <v>25588.733969623965</v>
      </c>
      <c r="N133" s="34">
        <f t="shared" si="25"/>
        <v>49514.14196962397</v>
      </c>
      <c r="O133" s="34"/>
      <c r="P133" s="34"/>
      <c r="Q133" s="5">
        <f t="shared" si="26"/>
        <v>49514.14196962397</v>
      </c>
      <c r="R133" s="30">
        <f t="shared" si="27"/>
        <v>49514.14196962397</v>
      </c>
      <c r="S133" s="1">
        <v>1678.98</v>
      </c>
      <c r="T133" s="1">
        <v>1845.21</v>
      </c>
      <c r="U133" s="1">
        <v>17876.52</v>
      </c>
      <c r="V133" s="1">
        <v>1678.98</v>
      </c>
      <c r="W133" s="1">
        <v>1678.98</v>
      </c>
      <c r="X133" s="1">
        <v>7442.38</v>
      </c>
      <c r="Y133" s="1">
        <v>16898.16</v>
      </c>
      <c r="Z133" s="1">
        <v>1796.02</v>
      </c>
      <c r="AA133" s="1">
        <v>1796.02</v>
      </c>
      <c r="AB133" s="1">
        <v>695.23</v>
      </c>
      <c r="AC133" s="165">
        <f t="shared" si="32"/>
        <v>53386.479999999996</v>
      </c>
      <c r="AD133" s="1">
        <v>0</v>
      </c>
      <c r="AE133" s="1">
        <v>1100.79</v>
      </c>
      <c r="AF133" s="1"/>
      <c r="AG133" s="1">
        <v>1796.02</v>
      </c>
      <c r="AH133" s="1">
        <v>0</v>
      </c>
      <c r="AI133" s="1">
        <v>1796.02</v>
      </c>
      <c r="AJ133" s="6">
        <f t="shared" si="29"/>
        <v>58079.30999999999</v>
      </c>
      <c r="AK133" s="1"/>
      <c r="AL133" s="1"/>
      <c r="AM133" s="1"/>
      <c r="AN133" s="1"/>
      <c r="AO133" s="6">
        <f t="shared" si="30"/>
        <v>58079.30999999999</v>
      </c>
      <c r="AP133" s="136">
        <f t="shared" si="33"/>
        <v>-8565.168030376022</v>
      </c>
      <c r="AQ133" s="110"/>
      <c r="AR133" s="110">
        <v>-5568.24</v>
      </c>
      <c r="AS133" s="111"/>
      <c r="AT133" s="111">
        <f t="shared" si="28"/>
        <v>-14133.408030376022</v>
      </c>
      <c r="AU133" s="121"/>
      <c r="AV133" s="111"/>
      <c r="AW133" s="111"/>
      <c r="AX133" s="111"/>
      <c r="AY133" s="116"/>
      <c r="AZ133" s="172">
        <f t="shared" si="31"/>
        <v>0</v>
      </c>
      <c r="BA133" s="130">
        <v>24365.94</v>
      </c>
    </row>
    <row r="134" spans="1:53" ht="12.75">
      <c r="A134" s="1">
        <v>123</v>
      </c>
      <c r="B134" s="1" t="s">
        <v>140</v>
      </c>
      <c r="C134" s="1">
        <v>3976</v>
      </c>
      <c r="D134" s="1">
        <v>840.1</v>
      </c>
      <c r="E134" s="7">
        <f t="shared" si="34"/>
        <v>4816.1</v>
      </c>
      <c r="F134" s="5">
        <v>2.9</v>
      </c>
      <c r="G134" s="5">
        <v>7.46</v>
      </c>
      <c r="H134" s="5">
        <f t="shared" si="19"/>
        <v>10.36</v>
      </c>
      <c r="I134" s="28">
        <f t="shared" si="20"/>
        <v>299368.776</v>
      </c>
      <c r="J134" s="5">
        <f t="shared" si="21"/>
        <v>3.101611830899999</v>
      </c>
      <c r="K134" s="5">
        <f t="shared" si="22"/>
        <v>7.978629054659999</v>
      </c>
      <c r="L134" s="27">
        <f t="shared" si="23"/>
        <v>11.080240885559999</v>
      </c>
      <c r="M134" s="61">
        <f t="shared" si="24"/>
        <v>320181.28877367306</v>
      </c>
      <c r="N134" s="34">
        <f t="shared" si="25"/>
        <v>619550.0647736731</v>
      </c>
      <c r="O134" s="34"/>
      <c r="P134" s="34"/>
      <c r="Q134" s="5">
        <f t="shared" si="26"/>
        <v>619550.0647736731</v>
      </c>
      <c r="R134" s="30">
        <f t="shared" si="27"/>
        <v>619550.0647736731</v>
      </c>
      <c r="S134" s="1">
        <v>31693.63</v>
      </c>
      <c r="T134" s="1">
        <v>42379.64</v>
      </c>
      <c r="U134" s="1">
        <v>201627.5</v>
      </c>
      <c r="V134" s="1">
        <v>68649.31</v>
      </c>
      <c r="W134" s="1">
        <v>29472.64</v>
      </c>
      <c r="X134" s="1">
        <v>89685.08</v>
      </c>
      <c r="Y134" s="1">
        <v>30240.69</v>
      </c>
      <c r="Z134" s="1">
        <v>41241.99</v>
      </c>
      <c r="AA134" s="1">
        <v>53738.28</v>
      </c>
      <c r="AB134" s="1">
        <v>13804.24</v>
      </c>
      <c r="AC134" s="165">
        <f t="shared" si="32"/>
        <v>602533.0000000001</v>
      </c>
      <c r="AD134" s="1">
        <v>0</v>
      </c>
      <c r="AE134" s="1">
        <v>18054.77</v>
      </c>
      <c r="AF134" s="1"/>
      <c r="AG134" s="1">
        <v>31155.61</v>
      </c>
      <c r="AH134" s="1">
        <v>0</v>
      </c>
      <c r="AI134" s="1">
        <v>44709.11</v>
      </c>
      <c r="AJ134" s="6">
        <f t="shared" si="29"/>
        <v>696452.4900000001</v>
      </c>
      <c r="AK134" s="1"/>
      <c r="AL134" s="1"/>
      <c r="AM134" s="1"/>
      <c r="AN134" s="1"/>
      <c r="AO134" s="6">
        <f t="shared" si="30"/>
        <v>696452.4900000001</v>
      </c>
      <c r="AP134" s="91">
        <f t="shared" si="33"/>
        <v>-76902.42522632703</v>
      </c>
      <c r="AQ134" s="10">
        <v>103141.98</v>
      </c>
      <c r="AR134" s="10">
        <v>42426.05</v>
      </c>
      <c r="AS134" s="34"/>
      <c r="AT134" s="34">
        <f t="shared" si="28"/>
        <v>68665.60477367297</v>
      </c>
      <c r="AU134" s="116"/>
      <c r="AV134" s="34"/>
      <c r="AW134" s="116">
        <v>5240</v>
      </c>
      <c r="AX134" s="116">
        <f>AT134+AU134-AV134-AW134</f>
        <v>63425.60477367297</v>
      </c>
      <c r="AY134" s="116">
        <v>18343.43</v>
      </c>
      <c r="AZ134" s="172">
        <f t="shared" si="31"/>
        <v>45082.17477367297</v>
      </c>
      <c r="BA134" s="130">
        <v>259783.87</v>
      </c>
    </row>
    <row r="135" spans="1:53" ht="12.75">
      <c r="A135" s="1">
        <v>124</v>
      </c>
      <c r="B135" s="1" t="s">
        <v>141</v>
      </c>
      <c r="C135" s="1">
        <v>504.9</v>
      </c>
      <c r="D135" s="1">
        <v>284.8</v>
      </c>
      <c r="E135" s="7">
        <f t="shared" si="34"/>
        <v>789.7</v>
      </c>
      <c r="F135" s="5">
        <v>2.9</v>
      </c>
      <c r="G135" s="5">
        <v>3.29</v>
      </c>
      <c r="H135" s="5">
        <f t="shared" si="19"/>
        <v>6.1899999999999995</v>
      </c>
      <c r="I135" s="28">
        <f t="shared" si="20"/>
        <v>29329.458</v>
      </c>
      <c r="J135" s="5">
        <f t="shared" si="21"/>
        <v>3.101611830899999</v>
      </c>
      <c r="K135" s="5">
        <f t="shared" si="22"/>
        <v>3.5187251460899995</v>
      </c>
      <c r="L135" s="27">
        <f t="shared" si="23"/>
        <v>6.620336976989998</v>
      </c>
      <c r="M135" s="61">
        <f t="shared" si="24"/>
        <v>31368.48066437401</v>
      </c>
      <c r="N135" s="34">
        <f t="shared" si="25"/>
        <v>60697.93866437401</v>
      </c>
      <c r="O135" s="34"/>
      <c r="P135" s="34"/>
      <c r="Q135" s="5">
        <f t="shared" si="26"/>
        <v>60697.93866437401</v>
      </c>
      <c r="R135" s="30">
        <f t="shared" si="27"/>
        <v>60697.93866437401</v>
      </c>
      <c r="S135" s="1">
        <v>13515.49</v>
      </c>
      <c r="T135" s="1">
        <v>1468.69</v>
      </c>
      <c r="U135" s="1">
        <v>6090.48</v>
      </c>
      <c r="V135" s="1">
        <v>1468.69</v>
      </c>
      <c r="W135" s="1">
        <v>1468.69</v>
      </c>
      <c r="X135" s="1">
        <v>4306.09</v>
      </c>
      <c r="Y135" s="1">
        <v>3022.11</v>
      </c>
      <c r="Z135" s="1">
        <v>2649.06</v>
      </c>
      <c r="AA135" s="1">
        <v>1572.45</v>
      </c>
      <c r="AB135" s="1">
        <v>608.69</v>
      </c>
      <c r="AC135" s="165">
        <f t="shared" si="32"/>
        <v>36170.439999999995</v>
      </c>
      <c r="AD135" s="1">
        <v>0</v>
      </c>
      <c r="AE135" s="1">
        <v>963.76</v>
      </c>
      <c r="AF135" s="1"/>
      <c r="AG135" s="1">
        <v>16709.45</v>
      </c>
      <c r="AH135" s="1">
        <v>0</v>
      </c>
      <c r="AI135" s="1">
        <v>8378.5</v>
      </c>
      <c r="AJ135" s="6">
        <f t="shared" si="29"/>
        <v>62222.149999999994</v>
      </c>
      <c r="AK135" s="1"/>
      <c r="AL135" s="1"/>
      <c r="AM135" s="1"/>
      <c r="AN135" s="1"/>
      <c r="AO135" s="6">
        <f t="shared" si="30"/>
        <v>62222.149999999994</v>
      </c>
      <c r="AP135" s="91">
        <f t="shared" si="33"/>
        <v>-1524.211335625987</v>
      </c>
      <c r="AQ135" s="10">
        <v>5334.58</v>
      </c>
      <c r="AR135" s="10">
        <v>34653.54</v>
      </c>
      <c r="AS135" s="34"/>
      <c r="AT135" s="34">
        <f t="shared" si="28"/>
        <v>38463.908664374016</v>
      </c>
      <c r="AU135" s="134"/>
      <c r="AV135" s="122">
        <v>24065.64</v>
      </c>
      <c r="AW135" s="116"/>
      <c r="AX135" s="116">
        <f>AT135+AU135-AV135-AW135</f>
        <v>14398.268664374016</v>
      </c>
      <c r="AY135" s="134">
        <v>4164.15</v>
      </c>
      <c r="AZ135" s="172">
        <f t="shared" si="31"/>
        <v>10234.118664374017</v>
      </c>
      <c r="BA135" s="127">
        <v>8842.29</v>
      </c>
    </row>
    <row r="136" spans="1:53" ht="12.75">
      <c r="A136" s="1">
        <v>125</v>
      </c>
      <c r="B136" s="1" t="s">
        <v>142</v>
      </c>
      <c r="C136" s="1">
        <v>455.8</v>
      </c>
      <c r="D136" s="1">
        <v>0</v>
      </c>
      <c r="E136" s="7">
        <f t="shared" si="34"/>
        <v>455.8</v>
      </c>
      <c r="F136" s="5">
        <v>2.9</v>
      </c>
      <c r="G136" s="5">
        <v>6.16</v>
      </c>
      <c r="H136" s="5">
        <f t="shared" si="19"/>
        <v>9.06</v>
      </c>
      <c r="I136" s="28">
        <f t="shared" si="20"/>
        <v>24777.288000000004</v>
      </c>
      <c r="J136" s="5">
        <f t="shared" si="21"/>
        <v>3.101611830899999</v>
      </c>
      <c r="K136" s="5">
        <f t="shared" si="22"/>
        <v>6.588251337359999</v>
      </c>
      <c r="L136" s="27">
        <f t="shared" si="23"/>
        <v>9.689863168259999</v>
      </c>
      <c r="M136" s="61">
        <f t="shared" si="24"/>
        <v>26499.837792557446</v>
      </c>
      <c r="N136" s="34">
        <f t="shared" si="25"/>
        <v>51277.12579255745</v>
      </c>
      <c r="O136" s="34">
        <v>9251.76</v>
      </c>
      <c r="P136" s="34"/>
      <c r="Q136" s="5">
        <f t="shared" si="26"/>
        <v>42025.365792557444</v>
      </c>
      <c r="R136" s="30">
        <f t="shared" si="27"/>
        <v>42025.365792557444</v>
      </c>
      <c r="S136" s="1">
        <v>1896.13</v>
      </c>
      <c r="T136" s="1">
        <v>2062.36</v>
      </c>
      <c r="U136" s="1">
        <v>2836.21</v>
      </c>
      <c r="V136" s="1">
        <v>1896.13</v>
      </c>
      <c r="W136" s="1">
        <v>1896.13</v>
      </c>
      <c r="X136" s="1">
        <v>3604.37</v>
      </c>
      <c r="Y136" s="1">
        <v>3538.48</v>
      </c>
      <c r="Z136" s="1">
        <v>2028.31</v>
      </c>
      <c r="AA136" s="1">
        <v>2028.31</v>
      </c>
      <c r="AB136" s="1">
        <v>785.15</v>
      </c>
      <c r="AC136" s="165">
        <f t="shared" si="32"/>
        <v>22571.580000000005</v>
      </c>
      <c r="AD136" s="1">
        <v>0</v>
      </c>
      <c r="AE136" s="1">
        <v>1243.16</v>
      </c>
      <c r="AF136" s="1"/>
      <c r="AG136" s="1">
        <v>2028.31</v>
      </c>
      <c r="AH136" s="1">
        <v>0</v>
      </c>
      <c r="AI136" s="1">
        <v>2299.52</v>
      </c>
      <c r="AJ136" s="6">
        <f t="shared" si="29"/>
        <v>28142.570000000007</v>
      </c>
      <c r="AK136" s="1"/>
      <c r="AL136" s="1"/>
      <c r="AM136" s="1"/>
      <c r="AN136" s="1"/>
      <c r="AO136" s="6">
        <f t="shared" si="30"/>
        <v>28142.570000000007</v>
      </c>
      <c r="AP136" s="91">
        <f t="shared" si="33"/>
        <v>13882.795792557437</v>
      </c>
      <c r="AQ136" s="10"/>
      <c r="AR136" s="10"/>
      <c r="AS136" s="34"/>
      <c r="AT136" s="116">
        <f t="shared" si="28"/>
        <v>13882.795792557437</v>
      </c>
      <c r="AU136" s="116"/>
      <c r="AV136" s="116"/>
      <c r="AW136" s="116"/>
      <c r="AX136" s="146">
        <f>AT136+AU136-AV136-AW136</f>
        <v>13882.795792557437</v>
      </c>
      <c r="AY136" s="116">
        <v>4015.07</v>
      </c>
      <c r="AZ136" s="172">
        <f t="shared" si="31"/>
        <v>9867.725792557438</v>
      </c>
      <c r="BA136" s="130">
        <v>114473.09</v>
      </c>
    </row>
    <row r="137" spans="1:53" ht="12.75" customHeight="1">
      <c r="A137" s="1">
        <v>126</v>
      </c>
      <c r="B137" s="84" t="s">
        <v>143</v>
      </c>
      <c r="C137" s="1">
        <v>537.3</v>
      </c>
      <c r="D137" s="1">
        <v>0</v>
      </c>
      <c r="E137" s="7">
        <f t="shared" si="34"/>
        <v>537.3</v>
      </c>
      <c r="F137" s="5">
        <v>2.9</v>
      </c>
      <c r="G137" s="5">
        <v>6.98</v>
      </c>
      <c r="H137" s="5">
        <f t="shared" si="19"/>
        <v>9.88</v>
      </c>
      <c r="I137" s="28">
        <f t="shared" si="20"/>
        <v>31851.144</v>
      </c>
      <c r="J137" s="5">
        <f t="shared" si="21"/>
        <v>3.101611830899999</v>
      </c>
      <c r="K137" s="5">
        <f t="shared" si="22"/>
        <v>7.465258820579999</v>
      </c>
      <c r="L137" s="27">
        <f t="shared" si="23"/>
        <v>10.566870651479999</v>
      </c>
      <c r="M137" s="61">
        <f t="shared" si="24"/>
        <v>34065.47760624121</v>
      </c>
      <c r="N137" s="34">
        <f t="shared" si="25"/>
        <v>65916.62160624121</v>
      </c>
      <c r="O137" s="34"/>
      <c r="P137" s="34"/>
      <c r="Q137" s="5">
        <f t="shared" si="26"/>
        <v>65916.62160624121</v>
      </c>
      <c r="R137" s="30">
        <f t="shared" si="27"/>
        <v>65916.62160624121</v>
      </c>
      <c r="S137" s="1">
        <v>2330.45</v>
      </c>
      <c r="T137" s="1">
        <v>2330.45</v>
      </c>
      <c r="U137" s="1">
        <v>2330.45</v>
      </c>
      <c r="V137" s="1">
        <v>9054.99</v>
      </c>
      <c r="W137" s="1">
        <v>80043.61</v>
      </c>
      <c r="X137" s="1">
        <v>16729.43</v>
      </c>
      <c r="Y137" s="1">
        <v>2480.53</v>
      </c>
      <c r="Z137" s="1">
        <v>1197.13</v>
      </c>
      <c r="AA137" s="1">
        <v>2212.8</v>
      </c>
      <c r="AB137" s="1">
        <v>2728.23</v>
      </c>
      <c r="AC137" s="165">
        <f t="shared" si="32"/>
        <v>121438.07</v>
      </c>
      <c r="AD137" s="1">
        <v>0</v>
      </c>
      <c r="AE137" s="1">
        <v>624.84</v>
      </c>
      <c r="AF137" s="1">
        <v>1432.64</v>
      </c>
      <c r="AG137" s="1">
        <v>1197.13</v>
      </c>
      <c r="AH137" s="1">
        <v>0</v>
      </c>
      <c r="AI137" s="1">
        <v>1197.13</v>
      </c>
      <c r="AJ137" s="6">
        <f t="shared" si="29"/>
        <v>125889.81000000001</v>
      </c>
      <c r="AK137" s="1"/>
      <c r="AL137" s="1"/>
      <c r="AM137" s="1"/>
      <c r="AN137" s="1"/>
      <c r="AO137" s="6">
        <f t="shared" si="30"/>
        <v>125889.81000000001</v>
      </c>
      <c r="AP137" s="136">
        <f t="shared" si="33"/>
        <v>-59973.1883937588</v>
      </c>
      <c r="AQ137" s="110">
        <v>21285.09</v>
      </c>
      <c r="AR137" s="110"/>
      <c r="AS137" s="111"/>
      <c r="AT137" s="111">
        <f t="shared" si="28"/>
        <v>-38688.0983937588</v>
      </c>
      <c r="AU137" s="121"/>
      <c r="AV137" s="111"/>
      <c r="AW137" s="111"/>
      <c r="AX137" s="111"/>
      <c r="AY137" s="116"/>
      <c r="AZ137" s="172">
        <f t="shared" si="31"/>
        <v>0</v>
      </c>
      <c r="BA137" s="130">
        <v>234734.35</v>
      </c>
    </row>
    <row r="138" spans="1:53" ht="12.75">
      <c r="A138" s="1">
        <v>127</v>
      </c>
      <c r="B138" s="1" t="s">
        <v>144</v>
      </c>
      <c r="C138" s="1">
        <v>462.1</v>
      </c>
      <c r="D138" s="1">
        <v>0</v>
      </c>
      <c r="E138" s="7">
        <f t="shared" si="34"/>
        <v>462.1</v>
      </c>
      <c r="F138" s="5">
        <v>2.9</v>
      </c>
      <c r="G138" s="5">
        <v>5.96</v>
      </c>
      <c r="H138" s="5">
        <f t="shared" si="19"/>
        <v>8.86</v>
      </c>
      <c r="I138" s="28">
        <f t="shared" si="20"/>
        <v>24565.236</v>
      </c>
      <c r="J138" s="5">
        <f t="shared" si="21"/>
        <v>3.101611830899999</v>
      </c>
      <c r="K138" s="5">
        <f t="shared" si="22"/>
        <v>6.374347073159999</v>
      </c>
      <c r="L138" s="27">
        <f t="shared" si="23"/>
        <v>9.475958904059999</v>
      </c>
      <c r="M138" s="61">
        <f t="shared" si="24"/>
        <v>26273.043657396753</v>
      </c>
      <c r="N138" s="34">
        <f t="shared" si="25"/>
        <v>50838.27965739675</v>
      </c>
      <c r="O138" s="34">
        <v>27848.53</v>
      </c>
      <c r="P138" s="34"/>
      <c r="Q138" s="5">
        <f t="shared" si="26"/>
        <v>22989.74965739675</v>
      </c>
      <c r="R138" s="30">
        <f t="shared" si="27"/>
        <v>22989.74965739675</v>
      </c>
      <c r="S138" s="1">
        <v>926.94</v>
      </c>
      <c r="T138" s="1">
        <v>1016.49</v>
      </c>
      <c r="U138" s="1">
        <v>3511.96</v>
      </c>
      <c r="V138" s="1">
        <v>850.26</v>
      </c>
      <c r="W138" s="1">
        <v>850.26</v>
      </c>
      <c r="X138" s="1">
        <v>850.26</v>
      </c>
      <c r="Y138" s="1">
        <v>910.34</v>
      </c>
      <c r="Z138" s="1">
        <v>910.34</v>
      </c>
      <c r="AA138" s="1">
        <v>1309.17</v>
      </c>
      <c r="AB138" s="1">
        <v>352.39</v>
      </c>
      <c r="AC138" s="165">
        <f t="shared" si="32"/>
        <v>11488.41</v>
      </c>
      <c r="AD138" s="1">
        <v>0</v>
      </c>
      <c r="AE138" s="1">
        <v>557.95</v>
      </c>
      <c r="AF138" s="1"/>
      <c r="AG138" s="1">
        <v>4050.13</v>
      </c>
      <c r="AH138" s="1">
        <v>0</v>
      </c>
      <c r="AI138" s="1">
        <v>2983.86</v>
      </c>
      <c r="AJ138" s="6">
        <f t="shared" si="29"/>
        <v>19080.350000000002</v>
      </c>
      <c r="AK138" s="1"/>
      <c r="AL138" s="1"/>
      <c r="AM138" s="1"/>
      <c r="AN138" s="1"/>
      <c r="AO138" s="6">
        <f t="shared" si="30"/>
        <v>19080.350000000002</v>
      </c>
      <c r="AP138" s="91">
        <f t="shared" si="33"/>
        <v>3909.399657396749</v>
      </c>
      <c r="AQ138" s="10"/>
      <c r="AR138" s="10"/>
      <c r="AS138" s="34"/>
      <c r="AT138" s="116">
        <f t="shared" si="28"/>
        <v>3909.399657396749</v>
      </c>
      <c r="AU138" s="116"/>
      <c r="AV138" s="116"/>
      <c r="AW138" s="116"/>
      <c r="AX138" s="116">
        <f>AT138+AU138-AV138-AW138</f>
        <v>3909.399657396749</v>
      </c>
      <c r="AY138" s="116">
        <v>1130.64</v>
      </c>
      <c r="AZ138" s="172">
        <f t="shared" si="31"/>
        <v>2778.7596573967485</v>
      </c>
      <c r="BA138" s="130">
        <v>225087.31</v>
      </c>
    </row>
    <row r="139" spans="1:54" ht="12.75">
      <c r="A139" s="1">
        <v>128</v>
      </c>
      <c r="B139" s="1" t="s">
        <v>145</v>
      </c>
      <c r="C139" s="1">
        <v>1423</v>
      </c>
      <c r="D139" s="1">
        <v>337</v>
      </c>
      <c r="E139" s="7">
        <f t="shared" si="34"/>
        <v>1760</v>
      </c>
      <c r="F139" s="5">
        <v>2.9</v>
      </c>
      <c r="G139" s="5">
        <v>3.46</v>
      </c>
      <c r="H139" s="5">
        <f t="shared" si="19"/>
        <v>6.359999999999999</v>
      </c>
      <c r="I139" s="28">
        <f t="shared" si="20"/>
        <v>67161.59999999999</v>
      </c>
      <c r="J139" s="5">
        <f t="shared" si="21"/>
        <v>3.101611830899999</v>
      </c>
      <c r="K139" s="5">
        <f t="shared" si="22"/>
        <v>3.7005437706599995</v>
      </c>
      <c r="L139" s="27">
        <f t="shared" si="23"/>
        <v>6.802155601559999</v>
      </c>
      <c r="M139" s="61">
        <f t="shared" si="24"/>
        <v>71830.76315247359</v>
      </c>
      <c r="N139" s="34">
        <f t="shared" si="25"/>
        <v>138992.36315247358</v>
      </c>
      <c r="O139" s="34"/>
      <c r="P139" s="34"/>
      <c r="Q139" s="5">
        <f t="shared" si="26"/>
        <v>138992.36315247358</v>
      </c>
      <c r="R139" s="30">
        <f t="shared" si="27"/>
        <v>138992.36315247358</v>
      </c>
      <c r="S139" s="1">
        <v>5027.63</v>
      </c>
      <c r="T139" s="1">
        <v>3452.48</v>
      </c>
      <c r="U139" s="1">
        <v>4391.45</v>
      </c>
      <c r="V139" s="1">
        <v>3414.21</v>
      </c>
      <c r="W139" s="1">
        <v>5044.78</v>
      </c>
      <c r="X139" s="1">
        <v>3414.21</v>
      </c>
      <c r="Y139" s="1">
        <v>3642.88</v>
      </c>
      <c r="Z139" s="1">
        <v>6889.53</v>
      </c>
      <c r="AA139" s="1">
        <v>3642.88</v>
      </c>
      <c r="AB139" s="1">
        <v>1519.03</v>
      </c>
      <c r="AC139" s="165">
        <f t="shared" si="32"/>
        <v>40439.079999999994</v>
      </c>
      <c r="AD139" s="1">
        <v>0</v>
      </c>
      <c r="AE139" s="1">
        <v>6644.26</v>
      </c>
      <c r="AF139" s="1"/>
      <c r="AG139" s="1">
        <v>5953.67</v>
      </c>
      <c r="AH139" s="1">
        <v>0</v>
      </c>
      <c r="AI139" s="1">
        <v>15146.63</v>
      </c>
      <c r="AJ139" s="6">
        <f t="shared" si="29"/>
        <v>68183.64</v>
      </c>
      <c r="AK139" s="1"/>
      <c r="AL139" s="1"/>
      <c r="AM139" s="1"/>
      <c r="AN139" s="1"/>
      <c r="AO139" s="6">
        <f t="shared" si="30"/>
        <v>68183.64</v>
      </c>
      <c r="AP139" s="91">
        <f t="shared" si="33"/>
        <v>70808.72315247358</v>
      </c>
      <c r="AQ139" s="10">
        <v>11046.58</v>
      </c>
      <c r="AR139" s="10">
        <v>20021.16</v>
      </c>
      <c r="AS139" s="34"/>
      <c r="AT139" s="116">
        <f t="shared" si="28"/>
        <v>101876.46315247359</v>
      </c>
      <c r="AU139" s="116"/>
      <c r="AV139" s="161">
        <f>800+47094</f>
        <v>47894</v>
      </c>
      <c r="AW139" s="116">
        <v>3592</v>
      </c>
      <c r="AX139" s="116">
        <f>AT139+AU139-AV139-AW139</f>
        <v>50390.46315247359</v>
      </c>
      <c r="AY139" s="116">
        <v>14573.52</v>
      </c>
      <c r="AZ139" s="172">
        <f t="shared" si="31"/>
        <v>35816.943152473585</v>
      </c>
      <c r="BA139" s="130">
        <v>54457.71</v>
      </c>
      <c r="BB139" s="12"/>
    </row>
    <row r="140" spans="1:53" ht="12.75" customHeight="1">
      <c r="A140" s="1">
        <v>129</v>
      </c>
      <c r="B140" s="84" t="s">
        <v>146</v>
      </c>
      <c r="C140" s="1">
        <v>629</v>
      </c>
      <c r="D140" s="1">
        <v>0</v>
      </c>
      <c r="E140" s="7">
        <f t="shared" si="34"/>
        <v>629</v>
      </c>
      <c r="F140" s="5">
        <v>2.9</v>
      </c>
      <c r="G140" s="5">
        <v>6.98</v>
      </c>
      <c r="H140" s="5">
        <f aca="true" t="shared" si="36" ref="H140:H175">F140+G140</f>
        <v>9.88</v>
      </c>
      <c r="I140" s="28">
        <f aca="true" t="shared" si="37" ref="I140:I175">E140*H140*6</f>
        <v>37287.12</v>
      </c>
      <c r="J140" s="5">
        <f aca="true" t="shared" si="38" ref="J140:J175">F140*1.067*1.002363</f>
        <v>3.101611830899999</v>
      </c>
      <c r="K140" s="5">
        <f aca="true" t="shared" si="39" ref="K140:K175">G140*1.067*1.002363</f>
        <v>7.465258820579999</v>
      </c>
      <c r="L140" s="27">
        <f aca="true" t="shared" si="40" ref="L140:L175">J140+K140</f>
        <v>10.566870651479999</v>
      </c>
      <c r="M140" s="61">
        <f aca="true" t="shared" si="41" ref="M140:M175">L140*E140*6</f>
        <v>39879.36983868551</v>
      </c>
      <c r="N140" s="34">
        <f aca="true" t="shared" si="42" ref="N140:N176">I140+M140</f>
        <v>77166.48983868552</v>
      </c>
      <c r="O140" s="34">
        <v>61302.65</v>
      </c>
      <c r="P140" s="34"/>
      <c r="Q140" s="5">
        <f aca="true" t="shared" si="43" ref="Q140:Q175">N140-O140</f>
        <v>15863.839838685519</v>
      </c>
      <c r="R140" s="30">
        <v>16020.12</v>
      </c>
      <c r="S140" s="1">
        <v>2816.53</v>
      </c>
      <c r="T140" s="1">
        <v>1335.01</v>
      </c>
      <c r="U140" s="1">
        <v>1335.01</v>
      </c>
      <c r="V140" s="1">
        <v>1335.01</v>
      </c>
      <c r="W140" s="1">
        <v>1335.01</v>
      </c>
      <c r="X140" s="1">
        <v>1335.01</v>
      </c>
      <c r="Y140" s="1">
        <v>1416.78</v>
      </c>
      <c r="Z140" s="1">
        <v>3413.74</v>
      </c>
      <c r="AA140" s="1">
        <v>1416.78</v>
      </c>
      <c r="AB140" s="1">
        <v>657.31</v>
      </c>
      <c r="AC140" s="165">
        <f t="shared" si="32"/>
        <v>16396.190000000002</v>
      </c>
      <c r="AD140" s="1">
        <v>1629.84</v>
      </c>
      <c r="AE140" s="1">
        <v>759.47</v>
      </c>
      <c r="AF140" s="1">
        <v>1165.53</v>
      </c>
      <c r="AG140" s="1">
        <v>1416.78</v>
      </c>
      <c r="AH140" s="1">
        <v>6490.17</v>
      </c>
      <c r="AI140" s="1">
        <v>1416.78</v>
      </c>
      <c r="AJ140" s="6">
        <f t="shared" si="29"/>
        <v>29274.760000000002</v>
      </c>
      <c r="AK140" s="1"/>
      <c r="AL140" s="1"/>
      <c r="AM140" s="1"/>
      <c r="AN140" s="1">
        <v>350</v>
      </c>
      <c r="AO140" s="6">
        <f t="shared" si="30"/>
        <v>29624.760000000002</v>
      </c>
      <c r="AP140" s="136">
        <f t="shared" si="33"/>
        <v>-13604.640000000001</v>
      </c>
      <c r="AQ140" s="110"/>
      <c r="AR140" s="110"/>
      <c r="AS140" s="111"/>
      <c r="AT140" s="111">
        <f aca="true" t="shared" si="44" ref="AT140:AT203">AP140+AQ140+AR140+AS140</f>
        <v>-13604.640000000001</v>
      </c>
      <c r="AU140" s="133"/>
      <c r="AV140" s="111"/>
      <c r="AW140" s="111"/>
      <c r="AX140" s="111"/>
      <c r="AY140" s="134"/>
      <c r="AZ140" s="172">
        <f t="shared" si="31"/>
        <v>0</v>
      </c>
      <c r="BA140" s="127">
        <v>9501.55</v>
      </c>
    </row>
    <row r="141" spans="1:53" ht="12.75">
      <c r="A141" s="1">
        <v>130</v>
      </c>
      <c r="B141" s="1" t="s">
        <v>147</v>
      </c>
      <c r="C141" s="1">
        <v>2020.2</v>
      </c>
      <c r="D141" s="1">
        <v>0</v>
      </c>
      <c r="E141" s="7">
        <f t="shared" si="34"/>
        <v>2020.2</v>
      </c>
      <c r="F141" s="5">
        <v>2.9</v>
      </c>
      <c r="G141" s="5">
        <v>6.98</v>
      </c>
      <c r="H141" s="5">
        <f t="shared" si="36"/>
        <v>9.88</v>
      </c>
      <c r="I141" s="28">
        <f t="shared" si="37"/>
        <v>119757.456</v>
      </c>
      <c r="J141" s="5">
        <f t="shared" si="38"/>
        <v>3.101611830899999</v>
      </c>
      <c r="K141" s="5">
        <f t="shared" si="39"/>
        <v>7.465258820579999</v>
      </c>
      <c r="L141" s="27">
        <f t="shared" si="40"/>
        <v>10.566870651479999</v>
      </c>
      <c r="M141" s="61">
        <f t="shared" si="41"/>
        <v>128083.15254071937</v>
      </c>
      <c r="N141" s="34">
        <f t="shared" si="42"/>
        <v>247840.60854071938</v>
      </c>
      <c r="O141" s="34">
        <v>36203.39</v>
      </c>
      <c r="P141" s="34">
        <v>5408.45</v>
      </c>
      <c r="Q141" s="5">
        <f t="shared" si="43"/>
        <v>211637.21854071936</v>
      </c>
      <c r="R141" s="30">
        <f aca="true" t="shared" si="45" ref="R141:R175">Q141+P141</f>
        <v>217045.66854071937</v>
      </c>
      <c r="S141" s="1">
        <v>11599.32</v>
      </c>
      <c r="T141" s="1">
        <v>9723.55</v>
      </c>
      <c r="U141" s="1">
        <v>19552.88</v>
      </c>
      <c r="V141" s="1">
        <v>37059.02</v>
      </c>
      <c r="W141" s="1">
        <v>14426.93</v>
      </c>
      <c r="X141" s="1">
        <v>16105.06</v>
      </c>
      <c r="Y141" s="1">
        <v>10341.52</v>
      </c>
      <c r="Z141" s="1">
        <v>27424.34</v>
      </c>
      <c r="AA141" s="1">
        <v>19218.96</v>
      </c>
      <c r="AB141" s="1">
        <v>4051.4</v>
      </c>
      <c r="AC141" s="165">
        <f t="shared" si="32"/>
        <v>169502.97999999998</v>
      </c>
      <c r="AD141" s="1">
        <v>0</v>
      </c>
      <c r="AE141" s="1">
        <v>6650.63</v>
      </c>
      <c r="AF141" s="1"/>
      <c r="AG141" s="1">
        <v>17812</v>
      </c>
      <c r="AH141" s="1">
        <v>0</v>
      </c>
      <c r="AI141" s="1">
        <v>11307.69</v>
      </c>
      <c r="AJ141" s="6">
        <f aca="true" t="shared" si="46" ref="AJ141:AJ204">AC141+AD141+AE141+AF141+AG141+AH141+AI141</f>
        <v>205273.3</v>
      </c>
      <c r="AK141" s="1"/>
      <c r="AL141" s="1"/>
      <c r="AM141" s="1"/>
      <c r="AN141" s="1"/>
      <c r="AO141" s="6">
        <f aca="true" t="shared" si="47" ref="AO141:AO205">AJ141+AK141+AL141+AM141+AN141</f>
        <v>205273.3</v>
      </c>
      <c r="AP141" s="91">
        <f t="shared" si="33"/>
        <v>11772.368540719384</v>
      </c>
      <c r="AQ141" s="10"/>
      <c r="AR141" s="10"/>
      <c r="AS141" s="34"/>
      <c r="AT141" s="116">
        <f t="shared" si="44"/>
        <v>11772.368540719384</v>
      </c>
      <c r="AU141" s="116"/>
      <c r="AV141" s="116">
        <v>1434</v>
      </c>
      <c r="AW141" s="116"/>
      <c r="AX141" s="116">
        <f aca="true" t="shared" si="48" ref="AX141:AX147">AT141+AU141-AV141-AW141</f>
        <v>10338.368540719384</v>
      </c>
      <c r="AY141" s="116">
        <v>2989.98</v>
      </c>
      <c r="AZ141" s="172">
        <f aca="true" t="shared" si="49" ref="AZ141:AZ204">AX141-AY141</f>
        <v>7348.388540719385</v>
      </c>
      <c r="BA141" s="130">
        <v>184096.44</v>
      </c>
    </row>
    <row r="142" spans="1:53" ht="12.75">
      <c r="A142" s="1">
        <v>131</v>
      </c>
      <c r="B142" s="1" t="s">
        <v>148</v>
      </c>
      <c r="C142" s="1">
        <v>2007</v>
      </c>
      <c r="D142" s="1">
        <v>0</v>
      </c>
      <c r="E142" s="7">
        <f t="shared" si="34"/>
        <v>2007</v>
      </c>
      <c r="F142" s="5">
        <v>2.9</v>
      </c>
      <c r="G142" s="5">
        <v>7.15</v>
      </c>
      <c r="H142" s="5">
        <f t="shared" si="36"/>
        <v>10.05</v>
      </c>
      <c r="I142" s="28">
        <f t="shared" si="37"/>
        <v>121022.1</v>
      </c>
      <c r="J142" s="5">
        <f t="shared" si="38"/>
        <v>3.101611830899999</v>
      </c>
      <c r="K142" s="5">
        <f t="shared" si="39"/>
        <v>7.64707744515</v>
      </c>
      <c r="L142" s="27">
        <f t="shared" si="40"/>
        <v>10.74868927605</v>
      </c>
      <c r="M142" s="61">
        <f t="shared" si="41"/>
        <v>129435.7162621941</v>
      </c>
      <c r="N142" s="34">
        <f t="shared" si="42"/>
        <v>250457.8162621941</v>
      </c>
      <c r="O142" s="34"/>
      <c r="P142" s="34"/>
      <c r="Q142" s="5">
        <f t="shared" si="43"/>
        <v>250457.8162621941</v>
      </c>
      <c r="R142" s="30">
        <f t="shared" si="45"/>
        <v>250457.8162621941</v>
      </c>
      <c r="S142" s="1">
        <v>15523.15</v>
      </c>
      <c r="T142" s="1">
        <v>8692.17</v>
      </c>
      <c r="U142" s="1">
        <v>13526.92</v>
      </c>
      <c r="V142" s="1">
        <v>8525.94</v>
      </c>
      <c r="W142" s="1">
        <v>9577.98</v>
      </c>
      <c r="X142" s="1">
        <v>15947.7</v>
      </c>
      <c r="Y142" s="1">
        <v>12390.32</v>
      </c>
      <c r="Z142" s="1">
        <v>13569.65</v>
      </c>
      <c r="AA142" s="1">
        <v>9750.81</v>
      </c>
      <c r="AB142" s="1">
        <v>4682.86</v>
      </c>
      <c r="AC142" s="165">
        <f aca="true" t="shared" si="50" ref="AC142:AC205">S142+T142++U142+V142+W142+X142+Y142+Z142+AA142+AB142</f>
        <v>112187.49999999999</v>
      </c>
      <c r="AD142" s="1">
        <v>0</v>
      </c>
      <c r="AE142" s="1">
        <v>6616</v>
      </c>
      <c r="AF142" s="1"/>
      <c r="AG142" s="1">
        <v>27365.45</v>
      </c>
      <c r="AH142" s="1">
        <v>0</v>
      </c>
      <c r="AI142" s="1">
        <v>11557.73</v>
      </c>
      <c r="AJ142" s="6">
        <f t="shared" si="46"/>
        <v>157726.68</v>
      </c>
      <c r="AK142" s="1"/>
      <c r="AL142" s="1"/>
      <c r="AM142" s="1"/>
      <c r="AN142" s="1"/>
      <c r="AO142" s="6">
        <f t="shared" si="47"/>
        <v>157726.68</v>
      </c>
      <c r="AP142" s="91">
        <f t="shared" si="33"/>
        <v>92731.13626219411</v>
      </c>
      <c r="AQ142" s="10">
        <v>23483.61</v>
      </c>
      <c r="AR142" s="10">
        <v>-47088.83</v>
      </c>
      <c r="AS142" s="34"/>
      <c r="AT142" s="116">
        <f t="shared" si="44"/>
        <v>69125.9162621941</v>
      </c>
      <c r="AU142" s="116"/>
      <c r="AV142" s="161">
        <v>50574</v>
      </c>
      <c r="AW142" s="116"/>
      <c r="AX142" s="116">
        <f t="shared" si="48"/>
        <v>18551.916262194107</v>
      </c>
      <c r="AY142" s="116">
        <v>5365.43</v>
      </c>
      <c r="AZ142" s="172">
        <f t="shared" si="49"/>
        <v>13186.486262194107</v>
      </c>
      <c r="BA142" s="130">
        <v>122759.62</v>
      </c>
    </row>
    <row r="143" spans="1:53" ht="12.75">
      <c r="A143" s="1">
        <v>132</v>
      </c>
      <c r="B143" s="84" t="s">
        <v>149</v>
      </c>
      <c r="C143" s="1">
        <v>627.9</v>
      </c>
      <c r="D143" s="1">
        <v>0</v>
      </c>
      <c r="E143" s="7">
        <f t="shared" si="34"/>
        <v>627.9</v>
      </c>
      <c r="F143" s="5">
        <v>2.9</v>
      </c>
      <c r="G143" s="5">
        <v>3.29</v>
      </c>
      <c r="H143" s="5">
        <f t="shared" si="36"/>
        <v>6.1899999999999995</v>
      </c>
      <c r="I143" s="28">
        <f t="shared" si="37"/>
        <v>23320.206</v>
      </c>
      <c r="J143" s="5">
        <f t="shared" si="38"/>
        <v>3.101611830899999</v>
      </c>
      <c r="K143" s="5">
        <f t="shared" si="39"/>
        <v>3.5187251460899995</v>
      </c>
      <c r="L143" s="27">
        <f t="shared" si="40"/>
        <v>6.620336976989998</v>
      </c>
      <c r="M143" s="61">
        <f t="shared" si="41"/>
        <v>24941.45752711212</v>
      </c>
      <c r="N143" s="34">
        <f t="shared" si="42"/>
        <v>48261.66352711212</v>
      </c>
      <c r="O143" s="34">
        <v>6700.87</v>
      </c>
      <c r="P143" s="34"/>
      <c r="Q143" s="5">
        <f t="shared" si="43"/>
        <v>41560.79352711212</v>
      </c>
      <c r="R143" s="30">
        <f t="shared" si="45"/>
        <v>41560.79352711212</v>
      </c>
      <c r="S143" s="1">
        <v>2558.44</v>
      </c>
      <c r="T143" s="1">
        <v>1332.99</v>
      </c>
      <c r="U143" s="1">
        <v>1332.99</v>
      </c>
      <c r="V143" s="1">
        <v>1589.06</v>
      </c>
      <c r="W143" s="1">
        <v>2641.1</v>
      </c>
      <c r="X143" s="1">
        <v>1589.06</v>
      </c>
      <c r="Y143" s="1">
        <v>1414.61</v>
      </c>
      <c r="Z143" s="1">
        <v>1414.61</v>
      </c>
      <c r="AA143" s="1">
        <v>1919.93</v>
      </c>
      <c r="AB143" s="1">
        <v>656.47</v>
      </c>
      <c r="AC143" s="165">
        <f t="shared" si="50"/>
        <v>16449.260000000002</v>
      </c>
      <c r="AD143" s="1">
        <v>1629.84</v>
      </c>
      <c r="AE143" s="1">
        <v>758.14</v>
      </c>
      <c r="AF143" s="1">
        <v>1165.53</v>
      </c>
      <c r="AG143" s="1">
        <v>1883.88</v>
      </c>
      <c r="AH143" s="1">
        <v>1250.25</v>
      </c>
      <c r="AI143" s="1">
        <v>5700.86</v>
      </c>
      <c r="AJ143" s="6">
        <f t="shared" si="46"/>
        <v>28837.760000000002</v>
      </c>
      <c r="AK143" s="1"/>
      <c r="AL143" s="1"/>
      <c r="AM143" s="1"/>
      <c r="AN143" s="1"/>
      <c r="AO143" s="6">
        <f t="shared" si="47"/>
        <v>28837.760000000002</v>
      </c>
      <c r="AP143" s="91">
        <f t="shared" si="33"/>
        <v>12723.033527112115</v>
      </c>
      <c r="AQ143" s="10"/>
      <c r="AR143" s="10"/>
      <c r="AS143" s="34"/>
      <c r="AT143" s="116">
        <f t="shared" si="44"/>
        <v>12723.033527112115</v>
      </c>
      <c r="AU143" s="116"/>
      <c r="AV143" s="116"/>
      <c r="AW143" s="116"/>
      <c r="AX143" s="146">
        <f t="shared" si="48"/>
        <v>12723.033527112115</v>
      </c>
      <c r="AY143" s="116">
        <v>3679.65</v>
      </c>
      <c r="AZ143" s="172">
        <f t="shared" si="49"/>
        <v>9043.383527112115</v>
      </c>
      <c r="BA143" s="130">
        <v>16953.64</v>
      </c>
    </row>
    <row r="144" spans="1:53" ht="12.75">
      <c r="A144" s="1">
        <v>133</v>
      </c>
      <c r="B144" s="1" t="s">
        <v>150</v>
      </c>
      <c r="C144" s="1">
        <v>406.7</v>
      </c>
      <c r="D144" s="1">
        <v>0</v>
      </c>
      <c r="E144" s="7">
        <f t="shared" si="34"/>
        <v>406.7</v>
      </c>
      <c r="F144" s="5">
        <v>2.9</v>
      </c>
      <c r="G144" s="5">
        <v>5.96</v>
      </c>
      <c r="H144" s="5">
        <f t="shared" si="36"/>
        <v>8.86</v>
      </c>
      <c r="I144" s="28">
        <f t="shared" si="37"/>
        <v>21620.172</v>
      </c>
      <c r="J144" s="5">
        <f t="shared" si="38"/>
        <v>3.101611830899999</v>
      </c>
      <c r="K144" s="5">
        <f t="shared" si="39"/>
        <v>6.374347073159999</v>
      </c>
      <c r="L144" s="27">
        <f t="shared" si="40"/>
        <v>9.475958904059999</v>
      </c>
      <c r="M144" s="61">
        <f t="shared" si="41"/>
        <v>23123.23491768721</v>
      </c>
      <c r="N144" s="34">
        <f t="shared" si="42"/>
        <v>44743.40691768721</v>
      </c>
      <c r="O144" s="34">
        <v>10612.44</v>
      </c>
      <c r="P144" s="34"/>
      <c r="Q144" s="5">
        <f t="shared" si="43"/>
        <v>34130.966917687205</v>
      </c>
      <c r="R144" s="30">
        <f t="shared" si="45"/>
        <v>34130.966917687205</v>
      </c>
      <c r="S144" s="1">
        <v>1691.87</v>
      </c>
      <c r="T144" s="1">
        <v>2032.37</v>
      </c>
      <c r="U144" s="1">
        <v>1691.87</v>
      </c>
      <c r="V144" s="1">
        <v>8619.77</v>
      </c>
      <c r="W144" s="1">
        <v>1691.87</v>
      </c>
      <c r="X144" s="1">
        <v>1876.7</v>
      </c>
      <c r="Y144" s="1">
        <v>1809.82</v>
      </c>
      <c r="Z144" s="1">
        <v>1691.87</v>
      </c>
      <c r="AA144" s="1">
        <v>2139.62</v>
      </c>
      <c r="AB144" s="1">
        <v>700.57</v>
      </c>
      <c r="AC144" s="165">
        <f t="shared" si="50"/>
        <v>23946.329999999998</v>
      </c>
      <c r="AD144" s="1">
        <v>0</v>
      </c>
      <c r="AE144" s="1">
        <v>1606.64</v>
      </c>
      <c r="AF144" s="1"/>
      <c r="AG144" s="1">
        <v>2686.42</v>
      </c>
      <c r="AH144" s="1">
        <v>0</v>
      </c>
      <c r="AI144" s="1">
        <v>3732.02</v>
      </c>
      <c r="AJ144" s="6">
        <f t="shared" si="46"/>
        <v>31971.41</v>
      </c>
      <c r="AK144" s="1"/>
      <c r="AL144" s="1"/>
      <c r="AM144" s="1"/>
      <c r="AN144" s="1"/>
      <c r="AO144" s="6">
        <f t="shared" si="47"/>
        <v>31971.41</v>
      </c>
      <c r="AP144" s="91">
        <f t="shared" si="33"/>
        <v>2159.556917687205</v>
      </c>
      <c r="AQ144" s="10"/>
      <c r="AR144" s="10"/>
      <c r="AS144" s="34"/>
      <c r="AT144" s="116">
        <f t="shared" si="44"/>
        <v>2159.556917687205</v>
      </c>
      <c r="AU144" s="116"/>
      <c r="AV144" s="116"/>
      <c r="AW144" s="116"/>
      <c r="AX144" s="146">
        <f t="shared" si="48"/>
        <v>2159.556917687205</v>
      </c>
      <c r="AY144" s="116">
        <v>624.57</v>
      </c>
      <c r="AZ144" s="172">
        <f t="shared" si="49"/>
        <v>1534.9869176872048</v>
      </c>
      <c r="BA144" s="130">
        <v>96733.75</v>
      </c>
    </row>
    <row r="145" spans="1:53" ht="12.75">
      <c r="A145" s="1">
        <v>134</v>
      </c>
      <c r="B145" s="1" t="s">
        <v>151</v>
      </c>
      <c r="C145" s="1">
        <v>1286.9</v>
      </c>
      <c r="D145" s="1">
        <v>0</v>
      </c>
      <c r="E145" s="7">
        <f t="shared" si="34"/>
        <v>1286.9</v>
      </c>
      <c r="F145" s="5">
        <v>2.9</v>
      </c>
      <c r="G145" s="5">
        <v>7.15</v>
      </c>
      <c r="H145" s="5">
        <f t="shared" si="36"/>
        <v>10.05</v>
      </c>
      <c r="I145" s="28">
        <f t="shared" si="37"/>
        <v>77600.07</v>
      </c>
      <c r="J145" s="5">
        <f t="shared" si="38"/>
        <v>3.101611830899999</v>
      </c>
      <c r="K145" s="5">
        <f t="shared" si="39"/>
        <v>7.64707744515</v>
      </c>
      <c r="L145" s="27">
        <f t="shared" si="40"/>
        <v>10.74868927605</v>
      </c>
      <c r="M145" s="61">
        <f t="shared" si="41"/>
        <v>82994.92937609246</v>
      </c>
      <c r="N145" s="34">
        <f t="shared" si="42"/>
        <v>160594.99937609246</v>
      </c>
      <c r="O145" s="34"/>
      <c r="P145" s="34"/>
      <c r="Q145" s="5">
        <f t="shared" si="43"/>
        <v>160594.99937609246</v>
      </c>
      <c r="R145" s="30">
        <f t="shared" si="45"/>
        <v>160594.99937609246</v>
      </c>
      <c r="S145" s="1">
        <v>7204.99</v>
      </c>
      <c r="T145" s="1">
        <v>11495.79</v>
      </c>
      <c r="U145" s="1">
        <v>9981.97</v>
      </c>
      <c r="V145" s="1">
        <v>7111.94</v>
      </c>
      <c r="W145" s="1">
        <v>17474.36</v>
      </c>
      <c r="X145" s="1">
        <v>13530.31</v>
      </c>
      <c r="Y145" s="1">
        <v>8557.57</v>
      </c>
      <c r="Z145" s="1">
        <v>7407.62</v>
      </c>
      <c r="AA145" s="1">
        <v>7422.64</v>
      </c>
      <c r="AB145" s="1">
        <v>2396.51</v>
      </c>
      <c r="AC145" s="165">
        <f t="shared" si="50"/>
        <v>92583.69999999998</v>
      </c>
      <c r="AD145" s="1">
        <v>0</v>
      </c>
      <c r="AE145" s="1">
        <v>5447.05</v>
      </c>
      <c r="AF145" s="1"/>
      <c r="AG145" s="1">
        <v>18259.47</v>
      </c>
      <c r="AH145" s="1">
        <v>0</v>
      </c>
      <c r="AI145" s="1">
        <v>18743.52</v>
      </c>
      <c r="AJ145" s="6">
        <f t="shared" si="46"/>
        <v>135033.74</v>
      </c>
      <c r="AK145" s="1"/>
      <c r="AL145" s="1"/>
      <c r="AM145" s="1"/>
      <c r="AN145" s="1"/>
      <c r="AO145" s="6">
        <f t="shared" si="47"/>
        <v>135033.74</v>
      </c>
      <c r="AP145" s="91">
        <f t="shared" si="33"/>
        <v>25561.259376092465</v>
      </c>
      <c r="AQ145" s="10">
        <v>-3865</v>
      </c>
      <c r="AR145" s="10">
        <v>-18563.94</v>
      </c>
      <c r="AS145" s="34"/>
      <c r="AT145" s="116">
        <f t="shared" si="44"/>
        <v>3132.319376092466</v>
      </c>
      <c r="AU145" s="116"/>
      <c r="AV145" s="116"/>
      <c r="AW145" s="116"/>
      <c r="AX145" s="116">
        <f t="shared" si="48"/>
        <v>3132.319376092466</v>
      </c>
      <c r="AY145" s="116">
        <v>905.9</v>
      </c>
      <c r="AZ145" s="172">
        <f t="shared" si="49"/>
        <v>2226.419376092466</v>
      </c>
      <c r="BA145" s="130">
        <v>93282.89</v>
      </c>
    </row>
    <row r="146" spans="1:53" ht="12.75" customHeight="1">
      <c r="A146" s="1">
        <v>135</v>
      </c>
      <c r="B146" s="1" t="s">
        <v>152</v>
      </c>
      <c r="C146" s="1">
        <v>944.1</v>
      </c>
      <c r="D146" s="1">
        <v>0</v>
      </c>
      <c r="E146" s="7">
        <f t="shared" si="34"/>
        <v>944.1</v>
      </c>
      <c r="F146" s="5">
        <v>2.9</v>
      </c>
      <c r="G146" s="5">
        <v>6.98</v>
      </c>
      <c r="H146" s="5">
        <f t="shared" si="36"/>
        <v>9.88</v>
      </c>
      <c r="I146" s="28">
        <f t="shared" si="37"/>
        <v>55966.24800000001</v>
      </c>
      <c r="J146" s="5">
        <f t="shared" si="38"/>
        <v>3.101611830899999</v>
      </c>
      <c r="K146" s="5">
        <f t="shared" si="39"/>
        <v>7.465258820579999</v>
      </c>
      <c r="L146" s="27">
        <f t="shared" si="40"/>
        <v>10.566870651479999</v>
      </c>
      <c r="M146" s="61">
        <f t="shared" si="41"/>
        <v>59857.0954923736</v>
      </c>
      <c r="N146" s="34">
        <f t="shared" si="42"/>
        <v>115823.3434923736</v>
      </c>
      <c r="O146" s="34"/>
      <c r="P146" s="34"/>
      <c r="Q146" s="5">
        <f t="shared" si="43"/>
        <v>115823.3434923736</v>
      </c>
      <c r="R146" s="30">
        <f t="shared" si="45"/>
        <v>115823.3434923736</v>
      </c>
      <c r="S146" s="1">
        <v>5740.66</v>
      </c>
      <c r="T146" s="1">
        <v>5233.83</v>
      </c>
      <c r="U146" s="1">
        <v>13370.41</v>
      </c>
      <c r="V146" s="1">
        <v>4519.42</v>
      </c>
      <c r="W146" s="1">
        <v>10106.35</v>
      </c>
      <c r="X146" s="1">
        <v>6895.61</v>
      </c>
      <c r="Y146" s="1">
        <v>4607.59</v>
      </c>
      <c r="Z146" s="1">
        <v>5657.8</v>
      </c>
      <c r="AA146" s="1">
        <v>19338.6</v>
      </c>
      <c r="AB146" s="1">
        <v>1798.77</v>
      </c>
      <c r="AC146" s="165">
        <f t="shared" si="50"/>
        <v>77269.04</v>
      </c>
      <c r="AD146" s="1">
        <v>0</v>
      </c>
      <c r="AE146" s="1">
        <v>7538.21</v>
      </c>
      <c r="AF146" s="1"/>
      <c r="AG146" s="1">
        <v>5721.23</v>
      </c>
      <c r="AH146" s="1">
        <v>0</v>
      </c>
      <c r="AI146" s="1">
        <v>6146.37</v>
      </c>
      <c r="AJ146" s="6">
        <f t="shared" si="46"/>
        <v>96674.84999999999</v>
      </c>
      <c r="AK146" s="1"/>
      <c r="AL146" s="1"/>
      <c r="AM146" s="1"/>
      <c r="AN146" s="1"/>
      <c r="AO146" s="6">
        <f t="shared" si="47"/>
        <v>96674.84999999999</v>
      </c>
      <c r="AP146" s="91">
        <f t="shared" si="33"/>
        <v>19148.493492373615</v>
      </c>
      <c r="AQ146" s="10"/>
      <c r="AR146" s="10">
        <v>13609.06</v>
      </c>
      <c r="AS146" s="34"/>
      <c r="AT146" s="116">
        <f t="shared" si="44"/>
        <v>32757.553492373612</v>
      </c>
      <c r="AU146" s="116"/>
      <c r="AV146" s="161">
        <v>32757.55</v>
      </c>
      <c r="AW146" s="116"/>
      <c r="AX146" s="116">
        <f t="shared" si="48"/>
        <v>0.003492373612971278</v>
      </c>
      <c r="AY146" s="116"/>
      <c r="AZ146" s="172">
        <f t="shared" si="49"/>
        <v>0.003492373612971278</v>
      </c>
      <c r="BA146" s="130">
        <v>69413.26</v>
      </c>
    </row>
    <row r="147" spans="1:53" ht="12.75">
      <c r="A147" s="1">
        <v>136</v>
      </c>
      <c r="B147" s="1" t="s">
        <v>153</v>
      </c>
      <c r="C147" s="1">
        <v>397.3</v>
      </c>
      <c r="D147" s="1">
        <v>0</v>
      </c>
      <c r="E147" s="7">
        <f t="shared" si="34"/>
        <v>397.3</v>
      </c>
      <c r="F147" s="5">
        <v>2.9</v>
      </c>
      <c r="G147" s="5">
        <v>5.96</v>
      </c>
      <c r="H147" s="5">
        <f t="shared" si="36"/>
        <v>8.86</v>
      </c>
      <c r="I147" s="28">
        <f t="shared" si="37"/>
        <v>21120.468</v>
      </c>
      <c r="J147" s="5">
        <f t="shared" si="38"/>
        <v>3.101611830899999</v>
      </c>
      <c r="K147" s="5">
        <f t="shared" si="39"/>
        <v>6.374347073159999</v>
      </c>
      <c r="L147" s="27">
        <f t="shared" si="40"/>
        <v>9.475958904059999</v>
      </c>
      <c r="M147" s="61">
        <f t="shared" si="41"/>
        <v>22588.790835498225</v>
      </c>
      <c r="N147" s="34">
        <f t="shared" si="42"/>
        <v>43709.25883549823</v>
      </c>
      <c r="O147" s="34">
        <v>15330.87</v>
      </c>
      <c r="P147" s="34"/>
      <c r="Q147" s="5">
        <f t="shared" si="43"/>
        <v>28378.388835498226</v>
      </c>
      <c r="R147" s="30">
        <f t="shared" si="45"/>
        <v>28378.388835498226</v>
      </c>
      <c r="S147" s="1">
        <v>1830.42</v>
      </c>
      <c r="T147" s="1">
        <v>2170.92</v>
      </c>
      <c r="U147" s="1">
        <v>1830.42</v>
      </c>
      <c r="V147" s="1">
        <v>1830.42</v>
      </c>
      <c r="W147" s="1">
        <v>4559.72</v>
      </c>
      <c r="X147" s="1">
        <v>1830.42</v>
      </c>
      <c r="Y147" s="1">
        <v>1945.64</v>
      </c>
      <c r="Z147" s="1">
        <v>1945.64</v>
      </c>
      <c r="AA147" s="1">
        <v>1945.64</v>
      </c>
      <c r="AB147" s="1">
        <v>862.03</v>
      </c>
      <c r="AC147" s="165">
        <f t="shared" si="50"/>
        <v>20751.27</v>
      </c>
      <c r="AD147" s="1">
        <v>0</v>
      </c>
      <c r="AE147" s="1">
        <v>1083.6</v>
      </c>
      <c r="AF147" s="1"/>
      <c r="AG147" s="1">
        <v>2503.88</v>
      </c>
      <c r="AH147" s="1">
        <v>0</v>
      </c>
      <c r="AI147" s="1">
        <v>2929.35</v>
      </c>
      <c r="AJ147" s="6">
        <f t="shared" si="46"/>
        <v>27268.1</v>
      </c>
      <c r="AK147" s="1"/>
      <c r="AL147" s="1"/>
      <c r="AM147" s="1"/>
      <c r="AN147" s="1"/>
      <c r="AO147" s="6">
        <f t="shared" si="47"/>
        <v>27268.1</v>
      </c>
      <c r="AP147" s="91">
        <f t="shared" si="33"/>
        <v>1110.2888354982279</v>
      </c>
      <c r="AQ147" s="10"/>
      <c r="AR147" s="10"/>
      <c r="AS147" s="34"/>
      <c r="AT147" s="116">
        <f t="shared" si="44"/>
        <v>1110.2888354982279</v>
      </c>
      <c r="AU147" s="116"/>
      <c r="AV147" s="116"/>
      <c r="AW147" s="116"/>
      <c r="AX147" s="116">
        <f t="shared" si="48"/>
        <v>1110.2888354982279</v>
      </c>
      <c r="AY147" s="116">
        <v>321.11</v>
      </c>
      <c r="AZ147" s="172">
        <f t="shared" si="49"/>
        <v>789.1788354982278</v>
      </c>
      <c r="BA147" s="130">
        <v>137101.39</v>
      </c>
    </row>
    <row r="148" spans="1:53" ht="12.75" customHeight="1">
      <c r="A148" s="1">
        <v>137</v>
      </c>
      <c r="B148" s="1" t="s">
        <v>154</v>
      </c>
      <c r="C148" s="1">
        <v>594.5</v>
      </c>
      <c r="D148" s="1">
        <v>0</v>
      </c>
      <c r="E148" s="7">
        <f t="shared" si="34"/>
        <v>594.5</v>
      </c>
      <c r="F148" s="5">
        <v>2.9</v>
      </c>
      <c r="G148" s="5">
        <v>5.96</v>
      </c>
      <c r="H148" s="5">
        <f t="shared" si="36"/>
        <v>8.86</v>
      </c>
      <c r="I148" s="28">
        <f t="shared" si="37"/>
        <v>31603.619999999995</v>
      </c>
      <c r="J148" s="5">
        <f t="shared" si="38"/>
        <v>3.101611830899999</v>
      </c>
      <c r="K148" s="5">
        <f t="shared" si="39"/>
        <v>6.374347073159999</v>
      </c>
      <c r="L148" s="27">
        <f t="shared" si="40"/>
        <v>9.475958904059999</v>
      </c>
      <c r="M148" s="61">
        <f t="shared" si="41"/>
        <v>33800.745410782016</v>
      </c>
      <c r="N148" s="34">
        <f t="shared" si="42"/>
        <v>65404.36541078201</v>
      </c>
      <c r="O148" s="34">
        <v>68226.28</v>
      </c>
      <c r="P148" s="34"/>
      <c r="Q148" s="5">
        <f t="shared" si="43"/>
        <v>-2821.9145892179877</v>
      </c>
      <c r="R148" s="30">
        <v>17390.16</v>
      </c>
      <c r="S148" s="1">
        <v>1449.18</v>
      </c>
      <c r="T148" s="1">
        <v>2384.41</v>
      </c>
      <c r="U148" s="1">
        <v>1918.71</v>
      </c>
      <c r="V148" s="1">
        <v>1449.18</v>
      </c>
      <c r="W148" s="1">
        <v>1449.18</v>
      </c>
      <c r="X148" s="1">
        <v>1449.18</v>
      </c>
      <c r="Y148" s="1">
        <v>1526.47</v>
      </c>
      <c r="Z148" s="1">
        <v>1526.47</v>
      </c>
      <c r="AA148" s="1">
        <v>11231.22</v>
      </c>
      <c r="AB148" s="1">
        <v>808.65</v>
      </c>
      <c r="AC148" s="165">
        <f t="shared" si="50"/>
        <v>25192.65</v>
      </c>
      <c r="AD148" s="1">
        <v>0</v>
      </c>
      <c r="AE148" s="1">
        <v>717.81</v>
      </c>
      <c r="AF148" s="1"/>
      <c r="AG148" s="1">
        <v>3205.54</v>
      </c>
      <c r="AH148" s="1">
        <v>0</v>
      </c>
      <c r="AI148" s="1">
        <v>1526.47</v>
      </c>
      <c r="AJ148" s="6">
        <f t="shared" si="46"/>
        <v>30642.470000000005</v>
      </c>
      <c r="AK148" s="1"/>
      <c r="AL148" s="1"/>
      <c r="AM148" s="1"/>
      <c r="AN148" s="1"/>
      <c r="AO148" s="6">
        <f t="shared" si="47"/>
        <v>30642.470000000005</v>
      </c>
      <c r="AP148" s="136">
        <f t="shared" si="33"/>
        <v>-13252.310000000005</v>
      </c>
      <c r="AQ148" s="110"/>
      <c r="AR148" s="110"/>
      <c r="AS148" s="111"/>
      <c r="AT148" s="111">
        <f t="shared" si="44"/>
        <v>-13252.310000000005</v>
      </c>
      <c r="AU148" s="121"/>
      <c r="AV148" s="111"/>
      <c r="AW148" s="111"/>
      <c r="AX148" s="111"/>
      <c r="AY148" s="116"/>
      <c r="AZ148" s="172">
        <f t="shared" si="49"/>
        <v>0</v>
      </c>
      <c r="BA148" s="130">
        <v>269048.07</v>
      </c>
    </row>
    <row r="149" spans="1:53" ht="12.75" customHeight="1">
      <c r="A149" s="1">
        <v>138</v>
      </c>
      <c r="B149" s="1" t="s">
        <v>155</v>
      </c>
      <c r="C149" s="1">
        <v>1334.8</v>
      </c>
      <c r="D149" s="1">
        <v>0</v>
      </c>
      <c r="E149" s="7">
        <f t="shared" si="34"/>
        <v>1334.8</v>
      </c>
      <c r="F149" s="5">
        <v>2.9</v>
      </c>
      <c r="G149" s="5">
        <v>6.98</v>
      </c>
      <c r="H149" s="5">
        <f t="shared" si="36"/>
        <v>9.88</v>
      </c>
      <c r="I149" s="28">
        <f t="shared" si="37"/>
        <v>79126.944</v>
      </c>
      <c r="J149" s="5">
        <f t="shared" si="38"/>
        <v>3.101611830899999</v>
      </c>
      <c r="K149" s="5">
        <f t="shared" si="39"/>
        <v>7.465258820579999</v>
      </c>
      <c r="L149" s="27">
        <f t="shared" si="40"/>
        <v>10.566870651479999</v>
      </c>
      <c r="M149" s="61">
        <f t="shared" si="41"/>
        <v>84627.953673573</v>
      </c>
      <c r="N149" s="34">
        <f t="shared" si="42"/>
        <v>163754.897673573</v>
      </c>
      <c r="O149" s="34">
        <v>15900.31</v>
      </c>
      <c r="P149" s="34"/>
      <c r="Q149" s="5">
        <f t="shared" si="43"/>
        <v>147854.587673573</v>
      </c>
      <c r="R149" s="30">
        <f t="shared" si="45"/>
        <v>147854.587673573</v>
      </c>
      <c r="S149" s="1">
        <v>14109.65</v>
      </c>
      <c r="T149" s="1">
        <v>14513.19</v>
      </c>
      <c r="U149" s="1">
        <v>7873.17</v>
      </c>
      <c r="V149" s="1">
        <v>5730.83</v>
      </c>
      <c r="W149" s="1">
        <v>5986.9</v>
      </c>
      <c r="X149" s="1">
        <v>10745.75</v>
      </c>
      <c r="Y149" s="1">
        <v>11718.31</v>
      </c>
      <c r="Z149" s="1">
        <v>52003.56</v>
      </c>
      <c r="AA149" s="1">
        <v>6117.96</v>
      </c>
      <c r="AB149" s="1">
        <v>2477.12</v>
      </c>
      <c r="AC149" s="165">
        <f t="shared" si="50"/>
        <v>131276.44</v>
      </c>
      <c r="AD149" s="1">
        <v>0</v>
      </c>
      <c r="AE149" s="1">
        <v>10580.43</v>
      </c>
      <c r="AF149" s="1"/>
      <c r="AG149" s="1">
        <v>12681.08</v>
      </c>
      <c r="AH149" s="1">
        <v>0</v>
      </c>
      <c r="AI149" s="1">
        <v>11491.81</v>
      </c>
      <c r="AJ149" s="6">
        <f t="shared" si="46"/>
        <v>166029.75999999998</v>
      </c>
      <c r="AK149" s="1"/>
      <c r="AL149" s="1"/>
      <c r="AM149" s="1"/>
      <c r="AN149" s="1">
        <v>350</v>
      </c>
      <c r="AO149" s="6">
        <f t="shared" si="47"/>
        <v>166379.75999999998</v>
      </c>
      <c r="AP149" s="136">
        <f t="shared" si="33"/>
        <v>-18525.172326426982</v>
      </c>
      <c r="AQ149" s="110"/>
      <c r="AR149" s="110"/>
      <c r="AS149" s="111"/>
      <c r="AT149" s="111">
        <f t="shared" si="44"/>
        <v>-18525.172326426982</v>
      </c>
      <c r="AU149" s="121"/>
      <c r="AV149" s="111"/>
      <c r="AW149" s="111"/>
      <c r="AX149" s="111"/>
      <c r="AY149" s="116"/>
      <c r="AZ149" s="172">
        <f t="shared" si="49"/>
        <v>0</v>
      </c>
      <c r="BA149" s="130">
        <v>51362.37</v>
      </c>
    </row>
    <row r="150" spans="1:53" ht="12.75" customHeight="1">
      <c r="A150" s="1">
        <v>139</v>
      </c>
      <c r="B150" s="1" t="s">
        <v>156</v>
      </c>
      <c r="C150" s="1">
        <v>466.4</v>
      </c>
      <c r="D150" s="1">
        <v>0</v>
      </c>
      <c r="E150" s="7">
        <f t="shared" si="34"/>
        <v>466.4</v>
      </c>
      <c r="F150" s="5">
        <v>2.9</v>
      </c>
      <c r="G150" s="5">
        <v>6.16</v>
      </c>
      <c r="H150" s="5">
        <f t="shared" si="36"/>
        <v>9.06</v>
      </c>
      <c r="I150" s="28">
        <f t="shared" si="37"/>
        <v>25353.504</v>
      </c>
      <c r="J150" s="5">
        <f t="shared" si="38"/>
        <v>3.101611830899999</v>
      </c>
      <c r="K150" s="5">
        <f t="shared" si="39"/>
        <v>6.588251337359999</v>
      </c>
      <c r="L150" s="27">
        <f t="shared" si="40"/>
        <v>9.689863168259999</v>
      </c>
      <c r="M150" s="61">
        <f t="shared" si="41"/>
        <v>27116.11309005878</v>
      </c>
      <c r="N150" s="34">
        <f t="shared" si="42"/>
        <v>52469.61709005878</v>
      </c>
      <c r="O150" s="34">
        <v>14775.39</v>
      </c>
      <c r="P150" s="34">
        <v>4297.75</v>
      </c>
      <c r="Q150" s="5">
        <f t="shared" si="43"/>
        <v>37694.22709005878</v>
      </c>
      <c r="R150" s="30">
        <f t="shared" si="45"/>
        <v>41991.97709005878</v>
      </c>
      <c r="S150" s="1">
        <v>1940.22</v>
      </c>
      <c r="T150" s="1">
        <v>2106.45</v>
      </c>
      <c r="U150" s="1">
        <v>1940.22</v>
      </c>
      <c r="V150" s="1">
        <v>1940.22</v>
      </c>
      <c r="W150" s="1">
        <v>1940.22</v>
      </c>
      <c r="X150" s="1">
        <v>7230.37</v>
      </c>
      <c r="Y150" s="1">
        <v>21208</v>
      </c>
      <c r="Z150" s="1">
        <v>2342.73</v>
      </c>
      <c r="AA150" s="1">
        <v>3716.66</v>
      </c>
      <c r="AB150" s="1">
        <v>803.41</v>
      </c>
      <c r="AC150" s="165">
        <f t="shared" si="50"/>
        <v>45168.5</v>
      </c>
      <c r="AD150" s="1">
        <v>0</v>
      </c>
      <c r="AE150" s="1">
        <v>1272.07</v>
      </c>
      <c r="AF150" s="1"/>
      <c r="AG150" s="1">
        <v>2075.48</v>
      </c>
      <c r="AH150" s="1">
        <v>0</v>
      </c>
      <c r="AI150" s="1">
        <v>5702.38</v>
      </c>
      <c r="AJ150" s="6">
        <f t="shared" si="46"/>
        <v>54218.43</v>
      </c>
      <c r="AK150" s="1"/>
      <c r="AL150" s="1"/>
      <c r="AM150" s="1"/>
      <c r="AN150" s="1"/>
      <c r="AO150" s="6">
        <f t="shared" si="47"/>
        <v>54218.43</v>
      </c>
      <c r="AP150" s="136">
        <f t="shared" si="33"/>
        <v>-12226.452909941218</v>
      </c>
      <c r="AQ150" s="110"/>
      <c r="AR150" s="110"/>
      <c r="AS150" s="111"/>
      <c r="AT150" s="111">
        <f t="shared" si="44"/>
        <v>-12226.452909941218</v>
      </c>
      <c r="AU150" s="121"/>
      <c r="AV150" s="111"/>
      <c r="AW150" s="111"/>
      <c r="AX150" s="111"/>
      <c r="AY150" s="116"/>
      <c r="AZ150" s="172">
        <f t="shared" si="49"/>
        <v>0</v>
      </c>
      <c r="BA150" s="130">
        <v>43643</v>
      </c>
    </row>
    <row r="151" spans="1:53" ht="12.75">
      <c r="A151" s="1">
        <v>140</v>
      </c>
      <c r="B151" s="1" t="s">
        <v>157</v>
      </c>
      <c r="C151" s="1">
        <v>606.2</v>
      </c>
      <c r="D151" s="10">
        <f>970.4+220</f>
        <v>1190.4</v>
      </c>
      <c r="E151" s="11">
        <f t="shared" si="34"/>
        <v>1796.6000000000001</v>
      </c>
      <c r="F151" s="5">
        <v>2.9</v>
      </c>
      <c r="G151" s="5">
        <v>7.09</v>
      </c>
      <c r="H151" s="5">
        <f t="shared" si="36"/>
        <v>9.99</v>
      </c>
      <c r="I151" s="28">
        <f t="shared" si="37"/>
        <v>107688.20400000003</v>
      </c>
      <c r="J151" s="5">
        <f t="shared" si="38"/>
        <v>3.101611830899999</v>
      </c>
      <c r="K151" s="5">
        <f t="shared" si="39"/>
        <v>7.582906165889998</v>
      </c>
      <c r="L151" s="27">
        <f t="shared" si="40"/>
        <v>10.684517996789998</v>
      </c>
      <c r="M151" s="61">
        <f t="shared" si="41"/>
        <v>115174.83019819745</v>
      </c>
      <c r="N151" s="34">
        <f t="shared" si="42"/>
        <v>222863.03419819748</v>
      </c>
      <c r="O151" s="34">
        <v>25629.38</v>
      </c>
      <c r="P151" s="34">
        <v>367.82</v>
      </c>
      <c r="Q151" s="5">
        <f t="shared" si="43"/>
        <v>197233.65419819747</v>
      </c>
      <c r="R151" s="30">
        <f t="shared" si="45"/>
        <v>197601.47419819748</v>
      </c>
      <c r="S151" s="1">
        <v>7114.99</v>
      </c>
      <c r="T151" s="1">
        <v>7945.42</v>
      </c>
      <c r="U151" s="1">
        <v>13291.21</v>
      </c>
      <c r="V151" s="1">
        <v>7242.93</v>
      </c>
      <c r="W151" s="1">
        <v>7208.29</v>
      </c>
      <c r="X151" s="1">
        <v>6558.66</v>
      </c>
      <c r="Y151" s="1">
        <v>7015.87</v>
      </c>
      <c r="Z151" s="1">
        <v>29008.03</v>
      </c>
      <c r="AA151" s="1">
        <v>7612.64</v>
      </c>
      <c r="AB151" s="1">
        <v>2715.82</v>
      </c>
      <c r="AC151" s="165">
        <f t="shared" si="50"/>
        <v>95713.86</v>
      </c>
      <c r="AD151" s="1">
        <v>0</v>
      </c>
      <c r="AE151" s="1">
        <v>8201.18</v>
      </c>
      <c r="AF151" s="1"/>
      <c r="AG151" s="1">
        <v>11995.39</v>
      </c>
      <c r="AH151" s="1">
        <v>0</v>
      </c>
      <c r="AI151" s="1">
        <v>17470.63</v>
      </c>
      <c r="AJ151" s="6">
        <f t="shared" si="46"/>
        <v>133381.06</v>
      </c>
      <c r="AK151" s="1"/>
      <c r="AL151" s="1"/>
      <c r="AM151" s="1"/>
      <c r="AN151" s="1"/>
      <c r="AO151" s="6">
        <f t="shared" si="47"/>
        <v>133381.06</v>
      </c>
      <c r="AP151" s="91">
        <f t="shared" si="33"/>
        <v>64220.41419819748</v>
      </c>
      <c r="AQ151" s="10"/>
      <c r="AR151" s="10"/>
      <c r="AS151" s="34"/>
      <c r="AT151" s="116">
        <f t="shared" si="44"/>
        <v>64220.41419819748</v>
      </c>
      <c r="AU151" s="116"/>
      <c r="AV151" s="116"/>
      <c r="AW151" s="116"/>
      <c r="AX151" s="116">
        <f aca="true" t="shared" si="51" ref="AX151:AX156">AT151+AU151-AV151-AW151</f>
        <v>64220.41419819748</v>
      </c>
      <c r="AY151" s="116">
        <v>18573.3</v>
      </c>
      <c r="AZ151" s="172">
        <f t="shared" si="49"/>
        <v>45647.11419819748</v>
      </c>
      <c r="BA151" s="130">
        <v>8297.5</v>
      </c>
    </row>
    <row r="152" spans="1:53" ht="12.75">
      <c r="A152" s="1">
        <v>141</v>
      </c>
      <c r="B152" s="1" t="s">
        <v>158</v>
      </c>
      <c r="C152" s="1">
        <v>396.5</v>
      </c>
      <c r="D152" s="1">
        <v>0</v>
      </c>
      <c r="E152" s="7">
        <f t="shared" si="34"/>
        <v>396.5</v>
      </c>
      <c r="F152" s="5">
        <v>2.9</v>
      </c>
      <c r="G152" s="5">
        <v>5.96</v>
      </c>
      <c r="H152" s="5">
        <f t="shared" si="36"/>
        <v>8.86</v>
      </c>
      <c r="I152" s="28">
        <f t="shared" si="37"/>
        <v>21077.94</v>
      </c>
      <c r="J152" s="5">
        <f t="shared" si="38"/>
        <v>3.101611830899999</v>
      </c>
      <c r="K152" s="5">
        <f t="shared" si="39"/>
        <v>6.374347073159999</v>
      </c>
      <c r="L152" s="27">
        <f t="shared" si="40"/>
        <v>9.475958904059999</v>
      </c>
      <c r="M152" s="61">
        <f t="shared" si="41"/>
        <v>22543.30623275874</v>
      </c>
      <c r="N152" s="34">
        <f t="shared" si="42"/>
        <v>43621.24623275874</v>
      </c>
      <c r="O152" s="34"/>
      <c r="P152" s="34"/>
      <c r="Q152" s="5">
        <f t="shared" si="43"/>
        <v>43621.24623275874</v>
      </c>
      <c r="R152" s="30">
        <f t="shared" si="45"/>
        <v>43621.24623275874</v>
      </c>
      <c r="S152" s="1">
        <v>1649.44</v>
      </c>
      <c r="T152" s="1">
        <v>1649.44</v>
      </c>
      <c r="U152" s="1">
        <v>1649.44</v>
      </c>
      <c r="V152" s="1">
        <v>1649.44</v>
      </c>
      <c r="W152" s="1">
        <v>1649.44</v>
      </c>
      <c r="X152" s="1">
        <v>1649.44</v>
      </c>
      <c r="Y152" s="1">
        <v>2253.93</v>
      </c>
      <c r="Z152" s="1">
        <v>1764.43</v>
      </c>
      <c r="AA152" s="1">
        <v>12030</v>
      </c>
      <c r="AB152" s="1">
        <v>7171</v>
      </c>
      <c r="AC152" s="165">
        <f t="shared" si="50"/>
        <v>33116</v>
      </c>
      <c r="AD152" s="1">
        <v>0</v>
      </c>
      <c r="AE152" s="1">
        <v>10346.07</v>
      </c>
      <c r="AF152" s="1"/>
      <c r="AG152" s="1">
        <v>2322.67</v>
      </c>
      <c r="AH152" s="1">
        <v>0</v>
      </c>
      <c r="AI152" s="1">
        <v>1764.43</v>
      </c>
      <c r="AJ152" s="6">
        <f t="shared" si="46"/>
        <v>47549.17</v>
      </c>
      <c r="AK152" s="1"/>
      <c r="AL152" s="1"/>
      <c r="AM152" s="1"/>
      <c r="AN152" s="1"/>
      <c r="AO152" s="6">
        <f t="shared" si="47"/>
        <v>47549.17</v>
      </c>
      <c r="AP152" s="91">
        <f t="shared" si="33"/>
        <v>-3927.9237672412564</v>
      </c>
      <c r="AQ152" s="10"/>
      <c r="AR152" s="10">
        <v>16331.87</v>
      </c>
      <c r="AS152" s="34"/>
      <c r="AT152" s="34">
        <f t="shared" si="44"/>
        <v>12403.946232758744</v>
      </c>
      <c r="AU152" s="116"/>
      <c r="AV152" s="34"/>
      <c r="AW152" s="116"/>
      <c r="AX152" s="146">
        <f t="shared" si="51"/>
        <v>12403.946232758744</v>
      </c>
      <c r="AY152" s="116">
        <v>3587.37</v>
      </c>
      <c r="AZ152" s="172">
        <f t="shared" si="49"/>
        <v>8816.576232758744</v>
      </c>
      <c r="BA152" s="130">
        <v>80534.99</v>
      </c>
    </row>
    <row r="153" spans="1:53" ht="12.75" customHeight="1">
      <c r="A153" s="1">
        <v>142</v>
      </c>
      <c r="B153" s="1" t="s">
        <v>159</v>
      </c>
      <c r="C153" s="1">
        <v>1170.9</v>
      </c>
      <c r="D153" s="1">
        <v>183.1</v>
      </c>
      <c r="E153" s="7">
        <f t="shared" si="34"/>
        <v>1354</v>
      </c>
      <c r="F153" s="5">
        <v>2.9</v>
      </c>
      <c r="G153" s="5">
        <v>6.98</v>
      </c>
      <c r="H153" s="5">
        <f t="shared" si="36"/>
        <v>9.88</v>
      </c>
      <c r="I153" s="28">
        <f t="shared" si="37"/>
        <v>80265.12</v>
      </c>
      <c r="J153" s="5">
        <f t="shared" si="38"/>
        <v>3.101611830899999</v>
      </c>
      <c r="K153" s="5">
        <f t="shared" si="39"/>
        <v>7.465258820579999</v>
      </c>
      <c r="L153" s="27">
        <f t="shared" si="40"/>
        <v>10.566870651479999</v>
      </c>
      <c r="M153" s="61">
        <f t="shared" si="41"/>
        <v>85845.2571726235</v>
      </c>
      <c r="N153" s="34">
        <f t="shared" si="42"/>
        <v>166110.3771726235</v>
      </c>
      <c r="O153" s="34"/>
      <c r="P153" s="34"/>
      <c r="Q153" s="5">
        <f t="shared" si="43"/>
        <v>166110.3771726235</v>
      </c>
      <c r="R153" s="30">
        <f t="shared" si="45"/>
        <v>166110.3771726235</v>
      </c>
      <c r="S153" s="1">
        <v>6288.44</v>
      </c>
      <c r="T153" s="1">
        <v>26799.64</v>
      </c>
      <c r="U153" s="1">
        <v>6142.44</v>
      </c>
      <c r="V153" s="1">
        <v>6318.57</v>
      </c>
      <c r="W153" s="1">
        <v>5890.37</v>
      </c>
      <c r="X153" s="1">
        <v>9394.04</v>
      </c>
      <c r="Y153" s="1">
        <v>11625.93</v>
      </c>
      <c r="Z153" s="1">
        <v>6279.33</v>
      </c>
      <c r="AA153" s="1">
        <v>6027.08</v>
      </c>
      <c r="AB153" s="1">
        <v>2333.06</v>
      </c>
      <c r="AC153" s="165">
        <f t="shared" si="50"/>
        <v>87098.90000000001</v>
      </c>
      <c r="AD153" s="1">
        <v>0</v>
      </c>
      <c r="AE153" s="1">
        <v>6885.7</v>
      </c>
      <c r="AF153" s="1"/>
      <c r="AG153" s="1">
        <v>16599.51</v>
      </c>
      <c r="AH153" s="1">
        <v>0</v>
      </c>
      <c r="AI153" s="1">
        <v>10853.23</v>
      </c>
      <c r="AJ153" s="6">
        <f t="shared" si="46"/>
        <v>121437.34</v>
      </c>
      <c r="AK153" s="1"/>
      <c r="AL153" s="1"/>
      <c r="AM153" s="1"/>
      <c r="AN153" s="1"/>
      <c r="AO153" s="6">
        <f t="shared" si="47"/>
        <v>121437.34</v>
      </c>
      <c r="AP153" s="91">
        <f t="shared" si="33"/>
        <v>44673.0371726235</v>
      </c>
      <c r="AQ153" s="10"/>
      <c r="AR153" s="10">
        <v>-18274.27</v>
      </c>
      <c r="AS153" s="34"/>
      <c r="AT153" s="116">
        <f t="shared" si="44"/>
        <v>26398.767172623502</v>
      </c>
      <c r="AU153" s="116"/>
      <c r="AV153" s="161">
        <f>2191.73+24207.04</f>
        <v>26398.77</v>
      </c>
      <c r="AW153" s="116"/>
      <c r="AX153" s="146">
        <f t="shared" si="51"/>
        <v>-0.0028273764983168803</v>
      </c>
      <c r="AY153" s="116"/>
      <c r="AZ153" s="172">
        <f t="shared" si="49"/>
        <v>-0.0028273764983168803</v>
      </c>
      <c r="BA153" s="130">
        <v>66536.01</v>
      </c>
    </row>
    <row r="154" spans="1:53" ht="12.75">
      <c r="A154" s="1">
        <v>143</v>
      </c>
      <c r="B154" s="1" t="s">
        <v>160</v>
      </c>
      <c r="C154" s="1">
        <v>418.2</v>
      </c>
      <c r="D154" s="1">
        <v>55.9</v>
      </c>
      <c r="E154" s="7">
        <f t="shared" si="34"/>
        <v>474.09999999999997</v>
      </c>
      <c r="F154" s="5">
        <v>2.9</v>
      </c>
      <c r="G154" s="5">
        <v>6.98</v>
      </c>
      <c r="H154" s="5">
        <f t="shared" si="36"/>
        <v>9.88</v>
      </c>
      <c r="I154" s="28">
        <f t="shared" si="37"/>
        <v>28104.648</v>
      </c>
      <c r="J154" s="5">
        <f t="shared" si="38"/>
        <v>3.101611830899999</v>
      </c>
      <c r="K154" s="5">
        <f t="shared" si="39"/>
        <v>7.465258820579999</v>
      </c>
      <c r="L154" s="27">
        <f t="shared" si="40"/>
        <v>10.566870651479999</v>
      </c>
      <c r="M154" s="61">
        <f t="shared" si="41"/>
        <v>30058.5202552</v>
      </c>
      <c r="N154" s="34">
        <f t="shared" si="42"/>
        <v>58163.1682552</v>
      </c>
      <c r="O154" s="34"/>
      <c r="P154" s="34"/>
      <c r="Q154" s="5">
        <f t="shared" si="43"/>
        <v>58163.1682552</v>
      </c>
      <c r="R154" s="30">
        <f t="shared" si="45"/>
        <v>58163.1682552</v>
      </c>
      <c r="S154" s="1">
        <v>2640.7</v>
      </c>
      <c r="T154" s="1">
        <v>1972.26</v>
      </c>
      <c r="U154" s="1">
        <v>1972.26</v>
      </c>
      <c r="V154" s="1">
        <v>2656.53</v>
      </c>
      <c r="W154" s="1">
        <v>2699.77</v>
      </c>
      <c r="X154" s="1">
        <v>4592.96</v>
      </c>
      <c r="Y154" s="1">
        <v>2149.25</v>
      </c>
      <c r="Z154" s="1">
        <v>2109.75</v>
      </c>
      <c r="AA154" s="1">
        <v>4301.57</v>
      </c>
      <c r="AB154" s="1">
        <v>816.68</v>
      </c>
      <c r="AC154" s="165">
        <f t="shared" si="50"/>
        <v>25911.73</v>
      </c>
      <c r="AD154" s="1">
        <v>0</v>
      </c>
      <c r="AE154" s="1">
        <v>1293.07</v>
      </c>
      <c r="AF154" s="1"/>
      <c r="AG154" s="1">
        <v>2109.75</v>
      </c>
      <c r="AH154" s="1">
        <v>0</v>
      </c>
      <c r="AI154" s="1">
        <v>2416.31</v>
      </c>
      <c r="AJ154" s="6">
        <f t="shared" si="46"/>
        <v>31730.86</v>
      </c>
      <c r="AK154" s="1"/>
      <c r="AL154" s="1"/>
      <c r="AM154" s="1"/>
      <c r="AN154" s="1"/>
      <c r="AO154" s="6">
        <f t="shared" si="47"/>
        <v>31730.86</v>
      </c>
      <c r="AP154" s="91">
        <f aca="true" t="shared" si="52" ref="AP154:AP217">R154-AO154</f>
        <v>26432.308255199998</v>
      </c>
      <c r="AQ154" s="10">
        <v>16650.28</v>
      </c>
      <c r="AR154" s="10">
        <v>3512.28</v>
      </c>
      <c r="AS154" s="34"/>
      <c r="AT154" s="116">
        <f t="shared" si="44"/>
        <v>46594.868255199995</v>
      </c>
      <c r="AU154" s="116"/>
      <c r="AV154" s="116"/>
      <c r="AW154" s="116"/>
      <c r="AX154" s="116">
        <f t="shared" si="51"/>
        <v>46594.868255199995</v>
      </c>
      <c r="AY154" s="116">
        <v>13475.79</v>
      </c>
      <c r="AZ154" s="172">
        <f t="shared" si="49"/>
        <v>33119.078255199995</v>
      </c>
      <c r="BA154" s="130">
        <v>36356.13</v>
      </c>
    </row>
    <row r="155" spans="1:53" ht="18" customHeight="1">
      <c r="A155" s="1">
        <v>144</v>
      </c>
      <c r="B155" s="1" t="s">
        <v>161</v>
      </c>
      <c r="C155" s="1">
        <v>600.6</v>
      </c>
      <c r="D155" s="1">
        <v>0</v>
      </c>
      <c r="E155" s="7">
        <f t="shared" si="34"/>
        <v>600.6</v>
      </c>
      <c r="F155" s="5">
        <v>2.9</v>
      </c>
      <c r="G155" s="5">
        <v>3.29</v>
      </c>
      <c r="H155" s="5">
        <f t="shared" si="36"/>
        <v>6.1899999999999995</v>
      </c>
      <c r="I155" s="28">
        <f t="shared" si="37"/>
        <v>22306.284</v>
      </c>
      <c r="J155" s="5">
        <f t="shared" si="38"/>
        <v>3.101611830899999</v>
      </c>
      <c r="K155" s="5">
        <f t="shared" si="39"/>
        <v>3.5187251460899995</v>
      </c>
      <c r="L155" s="27">
        <f t="shared" si="40"/>
        <v>6.620336976989998</v>
      </c>
      <c r="M155" s="61">
        <f t="shared" si="41"/>
        <v>23857.04633028116</v>
      </c>
      <c r="N155" s="34">
        <f t="shared" si="42"/>
        <v>46163.330330281155</v>
      </c>
      <c r="O155" s="34">
        <v>30513.15</v>
      </c>
      <c r="P155" s="34">
        <v>15960.13</v>
      </c>
      <c r="Q155" s="5">
        <f t="shared" si="43"/>
        <v>15650.180330281153</v>
      </c>
      <c r="R155" s="30">
        <f t="shared" si="45"/>
        <v>31610.31033028115</v>
      </c>
      <c r="S155" s="1">
        <v>4717.85</v>
      </c>
      <c r="T155" s="1">
        <v>1143.8</v>
      </c>
      <c r="U155" s="1">
        <v>1144</v>
      </c>
      <c r="V155" s="1">
        <v>1222.03</v>
      </c>
      <c r="W155" s="1">
        <v>1222.03</v>
      </c>
      <c r="X155" s="1">
        <v>9498.99</v>
      </c>
      <c r="Y155" s="1">
        <v>1183.18</v>
      </c>
      <c r="Z155" s="1">
        <v>2284.06</v>
      </c>
      <c r="AA155" s="1">
        <v>1687.69</v>
      </c>
      <c r="AB155" s="1">
        <v>458.01</v>
      </c>
      <c r="AC155" s="165">
        <f t="shared" si="50"/>
        <v>24561.64</v>
      </c>
      <c r="AD155" s="1">
        <v>0</v>
      </c>
      <c r="AE155" s="1">
        <v>725.18</v>
      </c>
      <c r="AF155" s="1"/>
      <c r="AG155" s="1">
        <v>1183.18</v>
      </c>
      <c r="AH155" s="1">
        <v>0</v>
      </c>
      <c r="AI155" s="1">
        <v>5133.64</v>
      </c>
      <c r="AJ155" s="6">
        <f t="shared" si="46"/>
        <v>31603.64</v>
      </c>
      <c r="AK155" s="1"/>
      <c r="AL155" s="1"/>
      <c r="AM155" s="1"/>
      <c r="AN155" s="1"/>
      <c r="AO155" s="6">
        <f t="shared" si="47"/>
        <v>31603.64</v>
      </c>
      <c r="AP155" s="91">
        <f t="shared" si="52"/>
        <v>6.670330281151109</v>
      </c>
      <c r="AQ155" s="10"/>
      <c r="AR155" s="10"/>
      <c r="AS155" s="34"/>
      <c r="AT155" s="116">
        <f t="shared" si="44"/>
        <v>6.670330281151109</v>
      </c>
      <c r="AU155" s="116"/>
      <c r="AV155" s="116"/>
      <c r="AW155" s="116"/>
      <c r="AX155" s="116">
        <f t="shared" si="51"/>
        <v>6.670330281151109</v>
      </c>
      <c r="AY155" s="116">
        <v>1.93</v>
      </c>
      <c r="AZ155" s="172">
        <f t="shared" si="49"/>
        <v>4.74033028115111</v>
      </c>
      <c r="BA155" s="130">
        <v>32468.49</v>
      </c>
    </row>
    <row r="156" spans="1:53" ht="16.5" customHeight="1">
      <c r="A156" s="1">
        <v>145</v>
      </c>
      <c r="B156" s="1" t="s">
        <v>162</v>
      </c>
      <c r="C156" s="1">
        <v>470.9</v>
      </c>
      <c r="D156" s="1">
        <v>0</v>
      </c>
      <c r="E156" s="7">
        <f t="shared" si="34"/>
        <v>470.9</v>
      </c>
      <c r="F156" s="5">
        <v>2.9</v>
      </c>
      <c r="G156" s="5">
        <v>3.29</v>
      </c>
      <c r="H156" s="5">
        <f t="shared" si="36"/>
        <v>6.1899999999999995</v>
      </c>
      <c r="I156" s="28">
        <f t="shared" si="37"/>
        <v>17489.226</v>
      </c>
      <c r="J156" s="5">
        <f t="shared" si="38"/>
        <v>3.101611830899999</v>
      </c>
      <c r="K156" s="5">
        <f t="shared" si="39"/>
        <v>3.5187251460899995</v>
      </c>
      <c r="L156" s="27">
        <f t="shared" si="40"/>
        <v>6.620336976989998</v>
      </c>
      <c r="M156" s="61">
        <f t="shared" si="41"/>
        <v>18705.10009478754</v>
      </c>
      <c r="N156" s="34">
        <f t="shared" si="42"/>
        <v>36194.32609478754</v>
      </c>
      <c r="O156" s="34">
        <v>1984.64</v>
      </c>
      <c r="P156" s="34">
        <v>15783.02</v>
      </c>
      <c r="Q156" s="5">
        <f t="shared" si="43"/>
        <v>34209.68609478754</v>
      </c>
      <c r="R156" s="30">
        <f t="shared" si="45"/>
        <v>49992.70609478754</v>
      </c>
      <c r="S156" s="1">
        <v>866.46</v>
      </c>
      <c r="T156" s="1">
        <v>1122.53</v>
      </c>
      <c r="U156" s="1">
        <v>2910.32</v>
      </c>
      <c r="V156" s="1">
        <v>866.46</v>
      </c>
      <c r="W156" s="1">
        <v>866.46</v>
      </c>
      <c r="X156" s="1">
        <v>7745.12</v>
      </c>
      <c r="Y156" s="1">
        <v>927.67</v>
      </c>
      <c r="Z156" s="1">
        <v>927.67</v>
      </c>
      <c r="AA156" s="1">
        <v>8769.52</v>
      </c>
      <c r="AB156" s="1">
        <v>359.1</v>
      </c>
      <c r="AC156" s="165">
        <f t="shared" si="50"/>
        <v>25361.309999999998</v>
      </c>
      <c r="AD156" s="1">
        <v>0</v>
      </c>
      <c r="AE156" s="1">
        <v>568.57</v>
      </c>
      <c r="AF156" s="1"/>
      <c r="AG156" s="1">
        <v>927.67</v>
      </c>
      <c r="AH156" s="1">
        <v>0</v>
      </c>
      <c r="AI156" s="1">
        <v>927.67</v>
      </c>
      <c r="AJ156" s="6">
        <f t="shared" si="46"/>
        <v>27785.219999999994</v>
      </c>
      <c r="AK156" s="1"/>
      <c r="AL156" s="1"/>
      <c r="AM156" s="1"/>
      <c r="AN156" s="1"/>
      <c r="AO156" s="6">
        <f t="shared" si="47"/>
        <v>27785.219999999994</v>
      </c>
      <c r="AP156" s="91">
        <f t="shared" si="52"/>
        <v>22207.48609478755</v>
      </c>
      <c r="AQ156" s="10"/>
      <c r="AR156" s="10"/>
      <c r="AS156" s="34"/>
      <c r="AT156" s="116">
        <f t="shared" si="44"/>
        <v>22207.48609478755</v>
      </c>
      <c r="AU156" s="116"/>
      <c r="AV156" s="116"/>
      <c r="AW156" s="116"/>
      <c r="AX156" s="146">
        <f t="shared" si="51"/>
        <v>22207.48609478755</v>
      </c>
      <c r="AY156" s="116">
        <v>6422.67</v>
      </c>
      <c r="AZ156" s="172">
        <f t="shared" si="49"/>
        <v>15784.81609478755</v>
      </c>
      <c r="BA156" s="130">
        <v>26795.48</v>
      </c>
    </row>
    <row r="157" spans="1:53" ht="16.5" customHeight="1">
      <c r="A157" s="1">
        <v>146</v>
      </c>
      <c r="B157" s="1" t="s">
        <v>163</v>
      </c>
      <c r="C157" s="1">
        <v>470.1</v>
      </c>
      <c r="D157" s="1">
        <v>0</v>
      </c>
      <c r="E157" s="7">
        <f t="shared" si="34"/>
        <v>470.1</v>
      </c>
      <c r="F157" s="5">
        <v>2.9</v>
      </c>
      <c r="G157" s="5">
        <v>3.29</v>
      </c>
      <c r="H157" s="5">
        <f t="shared" si="36"/>
        <v>6.1899999999999995</v>
      </c>
      <c r="I157" s="28">
        <f t="shared" si="37"/>
        <v>17459.514</v>
      </c>
      <c r="J157" s="5">
        <f t="shared" si="38"/>
        <v>3.101611830899999</v>
      </c>
      <c r="K157" s="5">
        <f t="shared" si="39"/>
        <v>3.5187251460899995</v>
      </c>
      <c r="L157" s="27">
        <f t="shared" si="40"/>
        <v>6.620336976989998</v>
      </c>
      <c r="M157" s="61">
        <f t="shared" si="41"/>
        <v>18673.322477297992</v>
      </c>
      <c r="N157" s="34">
        <f t="shared" si="42"/>
        <v>36132.83647729799</v>
      </c>
      <c r="O157" s="34">
        <v>25453.85</v>
      </c>
      <c r="P157" s="34">
        <v>15113.43</v>
      </c>
      <c r="Q157" s="5">
        <f t="shared" si="43"/>
        <v>10678.986477297993</v>
      </c>
      <c r="R157" s="30">
        <f t="shared" si="45"/>
        <v>25792.416477297993</v>
      </c>
      <c r="S157" s="1">
        <v>2915.06</v>
      </c>
      <c r="T157" s="1">
        <v>4930.75</v>
      </c>
      <c r="U157" s="1">
        <v>5702.61</v>
      </c>
      <c r="V157" s="1">
        <v>864.98</v>
      </c>
      <c r="W157" s="1">
        <v>864.98</v>
      </c>
      <c r="X157" s="1">
        <v>864.98</v>
      </c>
      <c r="Y157" s="1">
        <v>5965.01</v>
      </c>
      <c r="Z157" s="1">
        <v>926.1</v>
      </c>
      <c r="AA157" s="1">
        <v>2567.28</v>
      </c>
      <c r="AB157" s="1">
        <v>358.49</v>
      </c>
      <c r="AC157" s="165">
        <f t="shared" si="50"/>
        <v>25960.239999999994</v>
      </c>
      <c r="AD157" s="1">
        <v>0</v>
      </c>
      <c r="AE157" s="1">
        <v>567.61</v>
      </c>
      <c r="AF157" s="1"/>
      <c r="AG157" s="1">
        <v>926.1</v>
      </c>
      <c r="AH157" s="1">
        <v>0</v>
      </c>
      <c r="AI157" s="1">
        <v>926.1</v>
      </c>
      <c r="AJ157" s="6">
        <f t="shared" si="46"/>
        <v>28380.049999999992</v>
      </c>
      <c r="AK157" s="1"/>
      <c r="AL157" s="1"/>
      <c r="AM157" s="1"/>
      <c r="AN157" s="1"/>
      <c r="AO157" s="6">
        <f t="shared" si="47"/>
        <v>28380.049999999992</v>
      </c>
      <c r="AP157" s="136">
        <f t="shared" si="52"/>
        <v>-2587.633522701999</v>
      </c>
      <c r="AQ157" s="110"/>
      <c r="AR157" s="110"/>
      <c r="AS157" s="111"/>
      <c r="AT157" s="111">
        <f t="shared" si="44"/>
        <v>-2587.633522701999</v>
      </c>
      <c r="AU157" s="133"/>
      <c r="AV157" s="111"/>
      <c r="AW157" s="111"/>
      <c r="AX157" s="111"/>
      <c r="AY157" s="134"/>
      <c r="AZ157" s="172">
        <f t="shared" si="49"/>
        <v>0</v>
      </c>
      <c r="BA157" s="127">
        <v>31062.86</v>
      </c>
    </row>
    <row r="158" spans="1:53" ht="12.75" customHeight="1">
      <c r="A158" s="1">
        <v>147</v>
      </c>
      <c r="B158" s="1" t="s">
        <v>164</v>
      </c>
      <c r="C158" s="1">
        <v>348</v>
      </c>
      <c r="D158" s="1">
        <v>0</v>
      </c>
      <c r="E158" s="7">
        <f t="shared" si="34"/>
        <v>348</v>
      </c>
      <c r="F158" s="5">
        <v>2.9</v>
      </c>
      <c r="G158" s="5">
        <v>6.16</v>
      </c>
      <c r="H158" s="5">
        <f t="shared" si="36"/>
        <v>9.06</v>
      </c>
      <c r="I158" s="28">
        <f t="shared" si="37"/>
        <v>18917.28</v>
      </c>
      <c r="J158" s="5">
        <f t="shared" si="38"/>
        <v>3.101611830899999</v>
      </c>
      <c r="K158" s="5">
        <f t="shared" si="39"/>
        <v>6.588251337359999</v>
      </c>
      <c r="L158" s="27">
        <f t="shared" si="40"/>
        <v>9.689863168259999</v>
      </c>
      <c r="M158" s="61">
        <f t="shared" si="41"/>
        <v>20232.43429532688</v>
      </c>
      <c r="N158" s="34">
        <f t="shared" si="42"/>
        <v>39149.71429532688</v>
      </c>
      <c r="O158" s="34"/>
      <c r="P158" s="34"/>
      <c r="Q158" s="5">
        <f t="shared" si="43"/>
        <v>39149.71429532688</v>
      </c>
      <c r="R158" s="30">
        <f t="shared" si="45"/>
        <v>39149.71429532688</v>
      </c>
      <c r="S158" s="1">
        <v>1562.7</v>
      </c>
      <c r="T158" s="1">
        <v>1447.68</v>
      </c>
      <c r="U158" s="1">
        <v>1447.68</v>
      </c>
      <c r="V158" s="1">
        <v>17242.43</v>
      </c>
      <c r="W158" s="1">
        <v>1447.68</v>
      </c>
      <c r="X158" s="1">
        <v>1447.68</v>
      </c>
      <c r="Y158" s="1">
        <v>1548.6</v>
      </c>
      <c r="Z158" s="1">
        <v>1548.6</v>
      </c>
      <c r="AA158" s="1">
        <v>1735.92</v>
      </c>
      <c r="AB158" s="1">
        <v>265.38</v>
      </c>
      <c r="AC158" s="165">
        <f t="shared" si="50"/>
        <v>29694.350000000002</v>
      </c>
      <c r="AD158" s="1">
        <v>0</v>
      </c>
      <c r="AE158" s="1">
        <v>10886.54</v>
      </c>
      <c r="AF158" s="1"/>
      <c r="AG158" s="1">
        <v>1716.77</v>
      </c>
      <c r="AH158" s="1">
        <v>0</v>
      </c>
      <c r="AI158" s="1">
        <v>1893.11</v>
      </c>
      <c r="AJ158" s="6">
        <f t="shared" si="46"/>
        <v>44190.77</v>
      </c>
      <c r="AK158" s="1"/>
      <c r="AL158" s="1"/>
      <c r="AM158" s="1"/>
      <c r="AN158" s="1"/>
      <c r="AO158" s="6">
        <f t="shared" si="47"/>
        <v>44190.77</v>
      </c>
      <c r="AP158" s="136">
        <f t="shared" si="52"/>
        <v>-5041.055704673119</v>
      </c>
      <c r="AQ158" s="110">
        <v>9860.21</v>
      </c>
      <c r="AR158" s="110">
        <v>-28988.86</v>
      </c>
      <c r="AS158" s="111"/>
      <c r="AT158" s="111">
        <f t="shared" si="44"/>
        <v>-24169.70570467312</v>
      </c>
      <c r="AU158" s="121"/>
      <c r="AV158" s="111"/>
      <c r="AW158" s="111"/>
      <c r="AX158" s="111"/>
      <c r="AY158" s="116"/>
      <c r="AZ158" s="172">
        <f t="shared" si="49"/>
        <v>0</v>
      </c>
      <c r="BA158" s="130">
        <v>139682.98</v>
      </c>
    </row>
    <row r="159" spans="1:53" ht="12.75">
      <c r="A159" s="1">
        <v>148</v>
      </c>
      <c r="B159" s="84" t="s">
        <v>165</v>
      </c>
      <c r="C159" s="1">
        <v>7621.2</v>
      </c>
      <c r="D159" s="1">
        <v>159</v>
      </c>
      <c r="E159" s="7">
        <f t="shared" si="34"/>
        <v>7780.2</v>
      </c>
      <c r="F159" s="5">
        <v>2.9</v>
      </c>
      <c r="G159" s="5">
        <v>7.85</v>
      </c>
      <c r="H159" s="5">
        <f t="shared" si="36"/>
        <v>10.75</v>
      </c>
      <c r="I159" s="28">
        <f t="shared" si="37"/>
        <v>501822.89999999997</v>
      </c>
      <c r="J159" s="5">
        <f t="shared" si="38"/>
        <v>3.101611830899999</v>
      </c>
      <c r="K159" s="5">
        <f t="shared" si="39"/>
        <v>8.395742369849998</v>
      </c>
      <c r="L159" s="27">
        <f t="shared" si="40"/>
        <v>11.497354200749998</v>
      </c>
      <c r="M159" s="61">
        <f t="shared" si="41"/>
        <v>536710.2909160508</v>
      </c>
      <c r="N159" s="34">
        <f t="shared" si="42"/>
        <v>1038533.1909160507</v>
      </c>
      <c r="O159" s="34">
        <v>12101.92</v>
      </c>
      <c r="P159" s="34">
        <v>90665.68</v>
      </c>
      <c r="Q159" s="5">
        <f t="shared" si="43"/>
        <v>1026431.2709160506</v>
      </c>
      <c r="R159" s="30">
        <f t="shared" si="45"/>
        <v>1117096.9509160507</v>
      </c>
      <c r="S159" s="1">
        <v>99517.46</v>
      </c>
      <c r="T159" s="1">
        <v>39059.75</v>
      </c>
      <c r="U159" s="1">
        <v>45114.2</v>
      </c>
      <c r="V159" s="1">
        <v>39337.35</v>
      </c>
      <c r="W159" s="1">
        <v>63960.03</v>
      </c>
      <c r="X159" s="1">
        <v>60788.81</v>
      </c>
      <c r="Y159" s="1">
        <v>51525.47</v>
      </c>
      <c r="Z159" s="1">
        <v>61495.82</v>
      </c>
      <c r="AA159" s="1">
        <v>47187.86</v>
      </c>
      <c r="AB159" s="1">
        <v>36053.68</v>
      </c>
      <c r="AC159" s="165">
        <f t="shared" si="50"/>
        <v>544040.43</v>
      </c>
      <c r="AD159" s="1">
        <v>13710.12</v>
      </c>
      <c r="AE159" s="1">
        <v>9463.9</v>
      </c>
      <c r="AF159" s="1">
        <v>22348.4</v>
      </c>
      <c r="AG159" s="1">
        <v>29839.28</v>
      </c>
      <c r="AH159" s="1">
        <v>100572.37</v>
      </c>
      <c r="AI159" s="1">
        <v>23144.2</v>
      </c>
      <c r="AJ159" s="6">
        <f t="shared" si="46"/>
        <v>743118.7000000001</v>
      </c>
      <c r="AK159" s="1">
        <f>356</f>
        <v>356</v>
      </c>
      <c r="AL159" s="1"/>
      <c r="AM159" s="1"/>
      <c r="AN159" s="95">
        <f>50213+196805.33</f>
        <v>247018.33</v>
      </c>
      <c r="AO159" s="6">
        <f t="shared" si="47"/>
        <v>990493.03</v>
      </c>
      <c r="AP159" s="91">
        <f t="shared" si="52"/>
        <v>126603.92091605067</v>
      </c>
      <c r="AQ159" s="10"/>
      <c r="AR159" s="10"/>
      <c r="AS159" s="34"/>
      <c r="AT159" s="116">
        <f t="shared" si="44"/>
        <v>126603.92091605067</v>
      </c>
      <c r="AU159" s="116">
        <v>688</v>
      </c>
      <c r="AV159" s="116"/>
      <c r="AW159" s="116">
        <f>4046.5+1198+3600+2290+2845+6440+1400</f>
        <v>21819.5</v>
      </c>
      <c r="AX159" s="116">
        <f>AT159+AU159-AV159-AW159</f>
        <v>105472.42091605067</v>
      </c>
      <c r="AY159" s="116">
        <v>30503.87</v>
      </c>
      <c r="AZ159" s="172">
        <f t="shared" si="49"/>
        <v>74968.55091605068</v>
      </c>
      <c r="BA159" s="130">
        <v>305049.4</v>
      </c>
    </row>
    <row r="160" spans="1:53" ht="15.75" customHeight="1">
      <c r="A160" s="1">
        <v>149</v>
      </c>
      <c r="B160" s="1" t="s">
        <v>166</v>
      </c>
      <c r="C160" s="1">
        <v>571.3</v>
      </c>
      <c r="D160" s="1">
        <v>0</v>
      </c>
      <c r="E160" s="7">
        <f t="shared" si="34"/>
        <v>571.3</v>
      </c>
      <c r="F160" s="5">
        <v>2.9</v>
      </c>
      <c r="G160" s="5">
        <v>3.43</v>
      </c>
      <c r="H160" s="5">
        <f t="shared" si="36"/>
        <v>6.33</v>
      </c>
      <c r="I160" s="28">
        <f t="shared" si="37"/>
        <v>21697.974</v>
      </c>
      <c r="J160" s="5">
        <f t="shared" si="38"/>
        <v>3.101611830899999</v>
      </c>
      <c r="K160" s="5">
        <f t="shared" si="39"/>
        <v>3.6684581310299995</v>
      </c>
      <c r="L160" s="27">
        <f t="shared" si="40"/>
        <v>6.770069961929998</v>
      </c>
      <c r="M160" s="61">
        <f t="shared" si="41"/>
        <v>23206.445815503645</v>
      </c>
      <c r="N160" s="34">
        <f t="shared" si="42"/>
        <v>44904.41981550364</v>
      </c>
      <c r="O160" s="34">
        <v>15355.88</v>
      </c>
      <c r="P160" s="34"/>
      <c r="Q160" s="5">
        <f t="shared" si="43"/>
        <v>29548.539815503646</v>
      </c>
      <c r="R160" s="30">
        <f t="shared" si="45"/>
        <v>29548.539815503646</v>
      </c>
      <c r="S160" s="1">
        <v>4697.18</v>
      </c>
      <c r="T160" s="1">
        <v>1406.49</v>
      </c>
      <c r="U160" s="1">
        <v>2482.23</v>
      </c>
      <c r="V160" s="1">
        <v>2864.44</v>
      </c>
      <c r="W160" s="1">
        <v>1406.49</v>
      </c>
      <c r="X160" s="1">
        <v>1406.49</v>
      </c>
      <c r="Y160" s="1">
        <v>10165.94</v>
      </c>
      <c r="Z160" s="1">
        <v>3861.77</v>
      </c>
      <c r="AA160" s="1">
        <v>1480.76</v>
      </c>
      <c r="AB160" s="1">
        <v>790.96</v>
      </c>
      <c r="AC160" s="165">
        <f t="shared" si="50"/>
        <v>30562.75</v>
      </c>
      <c r="AD160" s="1">
        <v>0</v>
      </c>
      <c r="AE160" s="1">
        <v>2321.4</v>
      </c>
      <c r="AF160" s="1"/>
      <c r="AG160" s="1">
        <v>2077.53</v>
      </c>
      <c r="AH160" s="1">
        <v>0</v>
      </c>
      <c r="AI160" s="1">
        <v>1480.76</v>
      </c>
      <c r="AJ160" s="6">
        <f t="shared" si="46"/>
        <v>36442.44</v>
      </c>
      <c r="AK160" s="1"/>
      <c r="AL160" s="1"/>
      <c r="AM160" s="1"/>
      <c r="AN160" s="1"/>
      <c r="AO160" s="6">
        <f t="shared" si="47"/>
        <v>36442.44</v>
      </c>
      <c r="AP160" s="136">
        <f t="shared" si="52"/>
        <v>-6893.900184496357</v>
      </c>
      <c r="AQ160" s="110"/>
      <c r="AR160" s="110"/>
      <c r="AS160" s="111"/>
      <c r="AT160" s="111">
        <f t="shared" si="44"/>
        <v>-6893.900184496357</v>
      </c>
      <c r="AU160" s="121"/>
      <c r="AV160" s="111"/>
      <c r="AW160" s="111"/>
      <c r="AX160" s="111"/>
      <c r="AY160" s="116"/>
      <c r="AZ160" s="172">
        <f t="shared" si="49"/>
        <v>0</v>
      </c>
      <c r="BA160" s="130">
        <v>107813.86</v>
      </c>
    </row>
    <row r="161" spans="1:53" ht="12.75" customHeight="1">
      <c r="A161" s="1">
        <v>150</v>
      </c>
      <c r="B161" s="1" t="s">
        <v>167</v>
      </c>
      <c r="C161" s="1">
        <v>394.1</v>
      </c>
      <c r="D161" s="1">
        <v>0</v>
      </c>
      <c r="E161" s="7">
        <f t="shared" si="34"/>
        <v>394.1</v>
      </c>
      <c r="F161" s="5">
        <v>2.9</v>
      </c>
      <c r="G161" s="5">
        <v>5.96</v>
      </c>
      <c r="H161" s="5">
        <f t="shared" si="36"/>
        <v>8.86</v>
      </c>
      <c r="I161" s="28">
        <f t="shared" si="37"/>
        <v>20950.356</v>
      </c>
      <c r="J161" s="5">
        <f t="shared" si="38"/>
        <v>3.101611830899999</v>
      </c>
      <c r="K161" s="5">
        <f t="shared" si="39"/>
        <v>6.374347073159999</v>
      </c>
      <c r="L161" s="27">
        <f t="shared" si="40"/>
        <v>9.475958904059999</v>
      </c>
      <c r="M161" s="61">
        <f t="shared" si="41"/>
        <v>22406.852424540273</v>
      </c>
      <c r="N161" s="34">
        <f t="shared" si="42"/>
        <v>43357.20842454027</v>
      </c>
      <c r="O161" s="34"/>
      <c r="P161" s="34"/>
      <c r="Q161" s="5">
        <f t="shared" si="43"/>
        <v>43357.20842454027</v>
      </c>
      <c r="R161" s="30">
        <f t="shared" si="45"/>
        <v>43357.20842454027</v>
      </c>
      <c r="S161" s="1">
        <v>6208.35</v>
      </c>
      <c r="T161" s="1">
        <v>4087.57</v>
      </c>
      <c r="U161" s="1">
        <v>42625.83</v>
      </c>
      <c r="V161" s="1">
        <v>1817.11</v>
      </c>
      <c r="W161" s="1">
        <v>1817.11</v>
      </c>
      <c r="X161" s="1">
        <v>1817.11</v>
      </c>
      <c r="Y161" s="1">
        <v>1931.4</v>
      </c>
      <c r="Z161" s="1">
        <v>954.03</v>
      </c>
      <c r="AA161" s="1">
        <v>53546.19</v>
      </c>
      <c r="AB161" s="1">
        <v>478.18</v>
      </c>
      <c r="AC161" s="165">
        <f t="shared" si="50"/>
        <v>115282.88</v>
      </c>
      <c r="AD161" s="1">
        <v>0</v>
      </c>
      <c r="AE161" s="1">
        <v>475.84</v>
      </c>
      <c r="AF161" s="1"/>
      <c r="AG161" s="1">
        <v>2419.01</v>
      </c>
      <c r="AH161" s="1">
        <v>0</v>
      </c>
      <c r="AI161" s="1">
        <v>1708.07</v>
      </c>
      <c r="AJ161" s="6">
        <f t="shared" si="46"/>
        <v>119885.8</v>
      </c>
      <c r="AK161" s="1"/>
      <c r="AL161" s="1"/>
      <c r="AM161" s="1"/>
      <c r="AN161" s="1"/>
      <c r="AO161" s="6">
        <f t="shared" si="47"/>
        <v>119885.8</v>
      </c>
      <c r="AP161" s="136">
        <f t="shared" si="52"/>
        <v>-76528.59157545972</v>
      </c>
      <c r="AQ161" s="110">
        <v>12744.21</v>
      </c>
      <c r="AR161" s="110">
        <v>-3245.25</v>
      </c>
      <c r="AS161" s="111"/>
      <c r="AT161" s="111">
        <f t="shared" si="44"/>
        <v>-67029.63157545973</v>
      </c>
      <c r="AU161" s="121"/>
      <c r="AV161" s="111"/>
      <c r="AW161" s="111"/>
      <c r="AX161" s="111"/>
      <c r="AY161" s="116"/>
      <c r="AZ161" s="172">
        <f t="shared" si="49"/>
        <v>0</v>
      </c>
      <c r="BA161" s="130">
        <v>102218.18</v>
      </c>
    </row>
    <row r="162" spans="1:53" ht="12.75" customHeight="1">
      <c r="A162" s="1">
        <v>151</v>
      </c>
      <c r="B162" s="84" t="s">
        <v>168</v>
      </c>
      <c r="C162" s="1">
        <v>619.3</v>
      </c>
      <c r="D162" s="1">
        <v>0</v>
      </c>
      <c r="E162" s="7">
        <f t="shared" si="34"/>
        <v>619.3</v>
      </c>
      <c r="F162" s="5">
        <v>2.9</v>
      </c>
      <c r="G162" s="5">
        <v>6.98</v>
      </c>
      <c r="H162" s="5">
        <f t="shared" si="36"/>
        <v>9.88</v>
      </c>
      <c r="I162" s="28">
        <f t="shared" si="37"/>
        <v>36712.104</v>
      </c>
      <c r="J162" s="5">
        <f t="shared" si="38"/>
        <v>3.101611830899999</v>
      </c>
      <c r="K162" s="5">
        <f t="shared" si="39"/>
        <v>7.465258820579999</v>
      </c>
      <c r="L162" s="27">
        <f t="shared" si="40"/>
        <v>10.566870651479999</v>
      </c>
      <c r="M162" s="61">
        <f t="shared" si="41"/>
        <v>39264.377966769374</v>
      </c>
      <c r="N162" s="34">
        <f t="shared" si="42"/>
        <v>75976.48196676938</v>
      </c>
      <c r="O162" s="34"/>
      <c r="P162" s="34"/>
      <c r="Q162" s="5">
        <f t="shared" si="43"/>
        <v>75976.48196676938</v>
      </c>
      <c r="R162" s="30">
        <f t="shared" si="45"/>
        <v>75976.48196676938</v>
      </c>
      <c r="S162" s="1">
        <v>2753.94</v>
      </c>
      <c r="T162" s="1">
        <v>3010.01</v>
      </c>
      <c r="U162" s="1">
        <v>2753.94</v>
      </c>
      <c r="V162" s="1">
        <v>3871.73</v>
      </c>
      <c r="W162" s="1">
        <v>3325.62</v>
      </c>
      <c r="X162" s="1">
        <v>2753.94</v>
      </c>
      <c r="Y162" s="1">
        <v>2933.54</v>
      </c>
      <c r="Z162" s="1">
        <v>4332.97</v>
      </c>
      <c r="AA162" s="1">
        <v>40706.11</v>
      </c>
      <c r="AB162" s="1">
        <v>1841.21</v>
      </c>
      <c r="AC162" s="165">
        <f t="shared" si="50"/>
        <v>68283.01000000001</v>
      </c>
      <c r="AD162" s="1">
        <v>941.34</v>
      </c>
      <c r="AE162" s="1">
        <v>747.75</v>
      </c>
      <c r="AF162" s="1">
        <v>1535.86</v>
      </c>
      <c r="AG162" s="1">
        <v>1994.44</v>
      </c>
      <c r="AH162" s="1">
        <v>3488.55</v>
      </c>
      <c r="AI162" s="1">
        <v>1658.1</v>
      </c>
      <c r="AJ162" s="6">
        <f t="shared" si="46"/>
        <v>78649.05000000002</v>
      </c>
      <c r="AK162" s="1"/>
      <c r="AL162" s="1"/>
      <c r="AM162" s="1"/>
      <c r="AN162" s="1"/>
      <c r="AO162" s="6">
        <f t="shared" si="47"/>
        <v>78649.05000000002</v>
      </c>
      <c r="AP162" s="136">
        <f t="shared" si="52"/>
        <v>-2672.5680332306365</v>
      </c>
      <c r="AQ162" s="110">
        <v>-1055.42</v>
      </c>
      <c r="AR162" s="110">
        <v>-3680.06</v>
      </c>
      <c r="AS162" s="111"/>
      <c r="AT162" s="111">
        <f t="shared" si="44"/>
        <v>-7408.048033230636</v>
      </c>
      <c r="AU162" s="121"/>
      <c r="AV162" s="111"/>
      <c r="AW162" s="111"/>
      <c r="AX162" s="111"/>
      <c r="AY162" s="116"/>
      <c r="AZ162" s="172">
        <f t="shared" si="49"/>
        <v>0</v>
      </c>
      <c r="BA162" s="130">
        <v>21107.08</v>
      </c>
    </row>
    <row r="163" spans="1:53" ht="12.75" customHeight="1">
      <c r="A163" s="1">
        <v>152</v>
      </c>
      <c r="B163" s="1" t="s">
        <v>169</v>
      </c>
      <c r="C163" s="1">
        <v>596.9</v>
      </c>
      <c r="D163" s="1">
        <v>0</v>
      </c>
      <c r="E163" s="7">
        <f t="shared" si="34"/>
        <v>596.9</v>
      </c>
      <c r="F163" s="5">
        <v>2.9</v>
      </c>
      <c r="G163" s="5">
        <v>6.16</v>
      </c>
      <c r="H163" s="5">
        <f t="shared" si="36"/>
        <v>9.06</v>
      </c>
      <c r="I163" s="28">
        <f t="shared" si="37"/>
        <v>32447.483999999997</v>
      </c>
      <c r="J163" s="5">
        <f t="shared" si="38"/>
        <v>3.101611830899999</v>
      </c>
      <c r="K163" s="5">
        <f t="shared" si="39"/>
        <v>6.588251337359999</v>
      </c>
      <c r="L163" s="27">
        <f t="shared" si="40"/>
        <v>9.689863168259999</v>
      </c>
      <c r="M163" s="61">
        <f t="shared" si="41"/>
        <v>34703.27595080636</v>
      </c>
      <c r="N163" s="34">
        <f t="shared" si="42"/>
        <v>67150.75995080636</v>
      </c>
      <c r="O163" s="34">
        <v>39855.85</v>
      </c>
      <c r="P163" s="34"/>
      <c r="Q163" s="5">
        <f t="shared" si="43"/>
        <v>27294.90995080636</v>
      </c>
      <c r="R163" s="30">
        <f t="shared" si="45"/>
        <v>27294.90995080636</v>
      </c>
      <c r="S163" s="1">
        <v>5002.2</v>
      </c>
      <c r="T163" s="1">
        <v>2553.95</v>
      </c>
      <c r="U163" s="1">
        <v>2553.95</v>
      </c>
      <c r="V163" s="1">
        <v>1452.49</v>
      </c>
      <c r="W163" s="1">
        <v>1452.49</v>
      </c>
      <c r="X163" s="1">
        <v>2390.83</v>
      </c>
      <c r="Y163" s="1">
        <v>1530.01</v>
      </c>
      <c r="Z163" s="1">
        <v>2122.06</v>
      </c>
      <c r="AA163" s="1">
        <v>1530.01</v>
      </c>
      <c r="AB163" s="1">
        <v>810.03</v>
      </c>
      <c r="AC163" s="165">
        <f t="shared" si="50"/>
        <v>21398.019999999997</v>
      </c>
      <c r="AD163" s="1">
        <v>0</v>
      </c>
      <c r="AE163" s="1">
        <v>2085.89</v>
      </c>
      <c r="AF163" s="1"/>
      <c r="AG163" s="1">
        <v>1530.01</v>
      </c>
      <c r="AH163" s="1">
        <v>0</v>
      </c>
      <c r="AI163" s="1">
        <v>2676.22</v>
      </c>
      <c r="AJ163" s="6">
        <f t="shared" si="46"/>
        <v>27690.139999999996</v>
      </c>
      <c r="AK163" s="1"/>
      <c r="AL163" s="1"/>
      <c r="AM163" s="1"/>
      <c r="AN163" s="1"/>
      <c r="AO163" s="6">
        <f t="shared" si="47"/>
        <v>27690.139999999996</v>
      </c>
      <c r="AP163" s="136">
        <f t="shared" si="52"/>
        <v>-395.23004919363666</v>
      </c>
      <c r="AQ163" s="110"/>
      <c r="AR163" s="110"/>
      <c r="AS163" s="111"/>
      <c r="AT163" s="111">
        <f t="shared" si="44"/>
        <v>-395.23004919363666</v>
      </c>
      <c r="AU163" s="121"/>
      <c r="AV163" s="111"/>
      <c r="AW163" s="111"/>
      <c r="AX163" s="111"/>
      <c r="AY163" s="116"/>
      <c r="AZ163" s="172">
        <f t="shared" si="49"/>
        <v>0</v>
      </c>
      <c r="BA163" s="130">
        <v>161702.78</v>
      </c>
    </row>
    <row r="164" spans="1:53" ht="12.75" customHeight="1">
      <c r="A164" s="1">
        <v>153</v>
      </c>
      <c r="B164" s="1" t="s">
        <v>170</v>
      </c>
      <c r="C164" s="1">
        <v>388.4</v>
      </c>
      <c r="D164" s="1">
        <v>0</v>
      </c>
      <c r="E164" s="7">
        <f t="shared" si="34"/>
        <v>388.4</v>
      </c>
      <c r="F164" s="5">
        <v>2.9</v>
      </c>
      <c r="G164" s="5">
        <v>5.96</v>
      </c>
      <c r="H164" s="5">
        <f t="shared" si="36"/>
        <v>8.86</v>
      </c>
      <c r="I164" s="28">
        <f t="shared" si="37"/>
        <v>20647.343999999997</v>
      </c>
      <c r="J164" s="5">
        <f t="shared" si="38"/>
        <v>3.101611830899999</v>
      </c>
      <c r="K164" s="5">
        <f t="shared" si="39"/>
        <v>6.374347073159999</v>
      </c>
      <c r="L164" s="27">
        <f t="shared" si="40"/>
        <v>9.475958904059999</v>
      </c>
      <c r="M164" s="61">
        <f t="shared" si="41"/>
        <v>22082.77463002142</v>
      </c>
      <c r="N164" s="34">
        <f t="shared" si="42"/>
        <v>42730.11863002142</v>
      </c>
      <c r="O164" s="34">
        <v>56320.59</v>
      </c>
      <c r="P164" s="34"/>
      <c r="Q164" s="5">
        <f t="shared" si="43"/>
        <v>-13590.471369978579</v>
      </c>
      <c r="R164" s="30">
        <v>8575.87</v>
      </c>
      <c r="S164" s="1">
        <v>7753.48</v>
      </c>
      <c r="T164" s="1">
        <v>880.89</v>
      </c>
      <c r="U164" s="1">
        <v>880.89</v>
      </c>
      <c r="V164" s="1">
        <v>714.66</v>
      </c>
      <c r="W164" s="1">
        <v>714.66</v>
      </c>
      <c r="X164" s="1">
        <v>714.66</v>
      </c>
      <c r="Y164" s="1">
        <v>765.15</v>
      </c>
      <c r="Z164" s="1">
        <v>765.15</v>
      </c>
      <c r="AA164" s="1">
        <v>765.15</v>
      </c>
      <c r="AB164" s="1">
        <v>14292.25</v>
      </c>
      <c r="AC164" s="165">
        <f t="shared" si="50"/>
        <v>28246.939999999995</v>
      </c>
      <c r="AD164" s="1">
        <v>0</v>
      </c>
      <c r="AE164" s="1">
        <v>468.96</v>
      </c>
      <c r="AF164" s="1"/>
      <c r="AG164" s="1">
        <v>2398.3</v>
      </c>
      <c r="AH164" s="1">
        <v>0</v>
      </c>
      <c r="AI164" s="1">
        <v>2015.15</v>
      </c>
      <c r="AJ164" s="6">
        <f t="shared" si="46"/>
        <v>33129.34999999999</v>
      </c>
      <c r="AK164" s="1"/>
      <c r="AL164" s="1"/>
      <c r="AM164" s="1"/>
      <c r="AN164" s="1"/>
      <c r="AO164" s="6">
        <f t="shared" si="47"/>
        <v>33129.34999999999</v>
      </c>
      <c r="AP164" s="136">
        <f t="shared" si="52"/>
        <v>-24553.47999999999</v>
      </c>
      <c r="AQ164" s="110"/>
      <c r="AR164" s="110"/>
      <c r="AS164" s="111"/>
      <c r="AT164" s="111">
        <f t="shared" si="44"/>
        <v>-24553.47999999999</v>
      </c>
      <c r="AU164" s="121"/>
      <c r="AV164" s="111"/>
      <c r="AW164" s="111"/>
      <c r="AX164" s="111"/>
      <c r="AY164" s="116"/>
      <c r="AZ164" s="172">
        <f t="shared" si="49"/>
        <v>0</v>
      </c>
      <c r="BA164" s="130">
        <v>203837.18</v>
      </c>
    </row>
    <row r="165" spans="1:53" ht="12.75">
      <c r="A165" s="1">
        <v>154</v>
      </c>
      <c r="B165" s="1" t="s">
        <v>171</v>
      </c>
      <c r="C165" s="1">
        <v>582.7</v>
      </c>
      <c r="D165" s="1">
        <v>0</v>
      </c>
      <c r="E165" s="7">
        <f t="shared" si="34"/>
        <v>582.7</v>
      </c>
      <c r="F165" s="5">
        <v>2.9</v>
      </c>
      <c r="G165" s="5">
        <v>6.16</v>
      </c>
      <c r="H165" s="5">
        <f t="shared" si="36"/>
        <v>9.06</v>
      </c>
      <c r="I165" s="28">
        <f t="shared" si="37"/>
        <v>31675.572000000004</v>
      </c>
      <c r="J165" s="5">
        <f t="shared" si="38"/>
        <v>3.101611830899999</v>
      </c>
      <c r="K165" s="5">
        <f t="shared" si="39"/>
        <v>6.588251337359999</v>
      </c>
      <c r="L165" s="27">
        <f t="shared" si="40"/>
        <v>9.689863168259999</v>
      </c>
      <c r="M165" s="61">
        <f t="shared" si="41"/>
        <v>33877.69960887061</v>
      </c>
      <c r="N165" s="34">
        <f t="shared" si="42"/>
        <v>65553.27160887061</v>
      </c>
      <c r="O165" s="34"/>
      <c r="P165" s="34"/>
      <c r="Q165" s="5">
        <f t="shared" si="43"/>
        <v>65553.27160887061</v>
      </c>
      <c r="R165" s="30">
        <f t="shared" si="45"/>
        <v>65553.27160887061</v>
      </c>
      <c r="S165" s="1">
        <v>5780.38</v>
      </c>
      <c r="T165" s="1">
        <v>2590.26</v>
      </c>
      <c r="U165" s="1">
        <v>2590.26</v>
      </c>
      <c r="V165" s="1">
        <v>2424.03</v>
      </c>
      <c r="W165" s="1">
        <v>2424.03</v>
      </c>
      <c r="X165" s="1">
        <v>2424.03</v>
      </c>
      <c r="Y165" s="1">
        <v>3143.03</v>
      </c>
      <c r="Z165" s="1">
        <v>2860.27</v>
      </c>
      <c r="AA165" s="1">
        <v>2593.02</v>
      </c>
      <c r="AB165" s="1">
        <v>1003.75</v>
      </c>
      <c r="AC165" s="165">
        <f t="shared" si="50"/>
        <v>27833.06</v>
      </c>
      <c r="AD165" s="1">
        <v>0</v>
      </c>
      <c r="AE165" s="1">
        <v>1589.27</v>
      </c>
      <c r="AF165" s="1"/>
      <c r="AG165" s="1">
        <v>2593.02</v>
      </c>
      <c r="AH165" s="1">
        <v>0</v>
      </c>
      <c r="AI165" s="1">
        <v>3739.23</v>
      </c>
      <c r="AJ165" s="6">
        <f t="shared" si="46"/>
        <v>35754.58</v>
      </c>
      <c r="AK165" s="1"/>
      <c r="AL165" s="1"/>
      <c r="AM165" s="1"/>
      <c r="AN165" s="1"/>
      <c r="AO165" s="6">
        <f t="shared" si="47"/>
        <v>35754.58</v>
      </c>
      <c r="AP165" s="91">
        <f t="shared" si="52"/>
        <v>29798.691608870606</v>
      </c>
      <c r="AQ165" s="10">
        <v>11222.21</v>
      </c>
      <c r="AR165" s="10">
        <v>7328.72</v>
      </c>
      <c r="AS165" s="34"/>
      <c r="AT165" s="116">
        <f t="shared" si="44"/>
        <v>48349.621608870606</v>
      </c>
      <c r="AU165" s="116"/>
      <c r="AV165" s="116"/>
      <c r="AW165" s="116"/>
      <c r="AX165" s="116">
        <f aca="true" t="shared" si="53" ref="AX165:AX171">AT165+AU165-AV165-AW165</f>
        <v>48349.621608870606</v>
      </c>
      <c r="AY165" s="116">
        <v>13983.28</v>
      </c>
      <c r="AZ165" s="172">
        <f t="shared" si="49"/>
        <v>34366.34160887061</v>
      </c>
      <c r="BA165" s="130">
        <v>256026.79</v>
      </c>
    </row>
    <row r="166" spans="1:53" ht="12.75">
      <c r="A166" s="1">
        <v>155</v>
      </c>
      <c r="B166" s="1" t="s">
        <v>172</v>
      </c>
      <c r="C166" s="1">
        <v>396.7</v>
      </c>
      <c r="D166" s="1">
        <v>0</v>
      </c>
      <c r="E166" s="7">
        <f t="shared" si="34"/>
        <v>396.7</v>
      </c>
      <c r="F166" s="5">
        <v>2.9</v>
      </c>
      <c r="G166" s="5">
        <v>6.16</v>
      </c>
      <c r="H166" s="5">
        <f t="shared" si="36"/>
        <v>9.06</v>
      </c>
      <c r="I166" s="28">
        <f t="shared" si="37"/>
        <v>21564.612</v>
      </c>
      <c r="J166" s="5">
        <f t="shared" si="38"/>
        <v>3.101611830899999</v>
      </c>
      <c r="K166" s="5">
        <f t="shared" si="39"/>
        <v>6.588251337359999</v>
      </c>
      <c r="L166" s="27">
        <f t="shared" si="40"/>
        <v>9.689863168259999</v>
      </c>
      <c r="M166" s="61">
        <f t="shared" si="41"/>
        <v>23063.81231309245</v>
      </c>
      <c r="N166" s="34">
        <f t="shared" si="42"/>
        <v>44628.42431309245</v>
      </c>
      <c r="O166" s="34"/>
      <c r="P166" s="34"/>
      <c r="Q166" s="5">
        <f t="shared" si="43"/>
        <v>44628.42431309245</v>
      </c>
      <c r="R166" s="30">
        <f t="shared" si="45"/>
        <v>44628.42431309245</v>
      </c>
      <c r="S166" s="1">
        <v>1650.27</v>
      </c>
      <c r="T166" s="1">
        <v>1816.5</v>
      </c>
      <c r="U166" s="1">
        <v>1816.5</v>
      </c>
      <c r="V166" s="1">
        <v>1650.27</v>
      </c>
      <c r="W166" s="1">
        <v>1650.27</v>
      </c>
      <c r="X166" s="1">
        <v>1650.27</v>
      </c>
      <c r="Y166" s="1">
        <v>2375.84</v>
      </c>
      <c r="Z166" s="1">
        <v>7952.08</v>
      </c>
      <c r="AA166" s="1">
        <v>1765.32</v>
      </c>
      <c r="AB166" s="1">
        <v>683.35</v>
      </c>
      <c r="AC166" s="165">
        <f t="shared" si="50"/>
        <v>23010.67</v>
      </c>
      <c r="AD166" s="1">
        <v>0</v>
      </c>
      <c r="AE166" s="1">
        <v>2713.57</v>
      </c>
      <c r="AF166" s="1"/>
      <c r="AG166" s="1">
        <v>1765.32</v>
      </c>
      <c r="AH166" s="1">
        <v>0</v>
      </c>
      <c r="AI166" s="1">
        <v>2036.53</v>
      </c>
      <c r="AJ166" s="6">
        <f t="shared" si="46"/>
        <v>29526.089999999997</v>
      </c>
      <c r="AK166" s="1"/>
      <c r="AL166" s="1"/>
      <c r="AM166" s="1"/>
      <c r="AN166" s="1"/>
      <c r="AO166" s="6">
        <f t="shared" si="47"/>
        <v>29526.089999999997</v>
      </c>
      <c r="AP166" s="91">
        <f t="shared" si="52"/>
        <v>15102.334313092455</v>
      </c>
      <c r="AQ166" s="10">
        <v>14582</v>
      </c>
      <c r="AR166" s="10">
        <v>-15807.78</v>
      </c>
      <c r="AS166" s="34"/>
      <c r="AT166" s="116">
        <f t="shared" si="44"/>
        <v>13876.554313092454</v>
      </c>
      <c r="AU166" s="116"/>
      <c r="AV166" s="116"/>
      <c r="AW166" s="116"/>
      <c r="AX166" s="116">
        <f t="shared" si="53"/>
        <v>13876.554313092454</v>
      </c>
      <c r="AY166" s="116">
        <v>4013.26</v>
      </c>
      <c r="AZ166" s="172">
        <f t="shared" si="49"/>
        <v>9863.294313092454</v>
      </c>
      <c r="BA166" s="130">
        <v>90544.56</v>
      </c>
    </row>
    <row r="167" spans="1:53" ht="15" customHeight="1">
      <c r="A167" s="1">
        <v>156</v>
      </c>
      <c r="B167" s="1" t="s">
        <v>173</v>
      </c>
      <c r="C167" s="1">
        <v>353.3</v>
      </c>
      <c r="D167" s="1">
        <v>0</v>
      </c>
      <c r="E167" s="7">
        <f t="shared" si="34"/>
        <v>353.3</v>
      </c>
      <c r="F167" s="5">
        <v>2.9</v>
      </c>
      <c r="G167" s="5">
        <v>2.47</v>
      </c>
      <c r="H167" s="5">
        <f t="shared" si="36"/>
        <v>5.37</v>
      </c>
      <c r="I167" s="28">
        <f t="shared" si="37"/>
        <v>11383.326000000001</v>
      </c>
      <c r="J167" s="5">
        <f t="shared" si="38"/>
        <v>3.101611830899999</v>
      </c>
      <c r="K167" s="5">
        <f t="shared" si="39"/>
        <v>2.6417176628699996</v>
      </c>
      <c r="L167" s="27">
        <f t="shared" si="40"/>
        <v>5.743329493769998</v>
      </c>
      <c r="M167" s="61">
        <f t="shared" si="41"/>
        <v>12174.709860893643</v>
      </c>
      <c r="N167" s="34">
        <f t="shared" si="42"/>
        <v>23558.035860893644</v>
      </c>
      <c r="O167" s="34">
        <v>5847.9</v>
      </c>
      <c r="P167" s="34">
        <v>9994.14</v>
      </c>
      <c r="Q167" s="5">
        <f t="shared" si="43"/>
        <v>17710.135860893643</v>
      </c>
      <c r="R167" s="30">
        <f>Q167+P167</f>
        <v>27704.275860893642</v>
      </c>
      <c r="S167" s="1">
        <v>827.72</v>
      </c>
      <c r="T167" s="1">
        <v>827.72</v>
      </c>
      <c r="U167" s="1">
        <v>827.72</v>
      </c>
      <c r="V167" s="1">
        <v>827.72</v>
      </c>
      <c r="W167" s="1">
        <v>827.72</v>
      </c>
      <c r="X167" s="1">
        <v>827.72</v>
      </c>
      <c r="Y167" s="1">
        <v>873.65</v>
      </c>
      <c r="Z167" s="1">
        <v>873.65</v>
      </c>
      <c r="AA167" s="1">
        <v>873.65</v>
      </c>
      <c r="AB167" s="1">
        <v>447.07</v>
      </c>
      <c r="AC167" s="165">
        <f t="shared" si="50"/>
        <v>8034.339999999999</v>
      </c>
      <c r="AD167" s="1">
        <v>0</v>
      </c>
      <c r="AE167" s="1">
        <v>426.58</v>
      </c>
      <c r="AF167" s="1"/>
      <c r="AG167" s="1">
        <v>873.65</v>
      </c>
      <c r="AH167" s="1">
        <v>0</v>
      </c>
      <c r="AI167" s="1">
        <v>873.65</v>
      </c>
      <c r="AJ167" s="6">
        <f t="shared" si="46"/>
        <v>10208.22</v>
      </c>
      <c r="AK167" s="1"/>
      <c r="AL167" s="1"/>
      <c r="AM167" s="1"/>
      <c r="AN167" s="1"/>
      <c r="AO167" s="6">
        <f t="shared" si="47"/>
        <v>10208.22</v>
      </c>
      <c r="AP167" s="91">
        <f t="shared" si="52"/>
        <v>17496.05586089364</v>
      </c>
      <c r="AQ167" s="10"/>
      <c r="AR167" s="10"/>
      <c r="AS167" s="34"/>
      <c r="AT167" s="116">
        <f t="shared" si="44"/>
        <v>17496.05586089364</v>
      </c>
      <c r="AU167" s="116"/>
      <c r="AV167" s="116"/>
      <c r="AW167" s="116"/>
      <c r="AX167" s="116">
        <f t="shared" si="53"/>
        <v>17496.05586089364</v>
      </c>
      <c r="AY167" s="116">
        <v>5060.07</v>
      </c>
      <c r="AZ167" s="172">
        <f t="shared" si="49"/>
        <v>12435.985860893641</v>
      </c>
      <c r="BA167" s="130">
        <v>48669.94</v>
      </c>
    </row>
    <row r="168" spans="1:53" ht="12.75">
      <c r="A168" s="1"/>
      <c r="B168" s="1" t="s">
        <v>442</v>
      </c>
      <c r="C168" s="1">
        <v>4202.8</v>
      </c>
      <c r="D168" s="1">
        <v>0</v>
      </c>
      <c r="E168" s="7">
        <f t="shared" si="34"/>
        <v>4202.8</v>
      </c>
      <c r="F168" s="5">
        <v>0</v>
      </c>
      <c r="G168" s="5">
        <v>0</v>
      </c>
      <c r="H168" s="5">
        <v>0</v>
      </c>
      <c r="I168" s="28">
        <f t="shared" si="37"/>
        <v>0</v>
      </c>
      <c r="J168" s="5">
        <v>3.1</v>
      </c>
      <c r="K168" s="5">
        <v>7.1</v>
      </c>
      <c r="L168" s="27">
        <f>J168+K168</f>
        <v>10.2</v>
      </c>
      <c r="M168" s="61">
        <f>L168*E168</f>
        <v>42868.56</v>
      </c>
      <c r="N168" s="34">
        <f>I168+M168</f>
        <v>42868.56</v>
      </c>
      <c r="O168" s="34"/>
      <c r="P168" s="34"/>
      <c r="Q168" s="5">
        <f t="shared" si="43"/>
        <v>42868.56</v>
      </c>
      <c r="R168" s="30">
        <f>Q168+P168</f>
        <v>42868.56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65">
        <f t="shared" si="50"/>
        <v>0</v>
      </c>
      <c r="AD168" s="1"/>
      <c r="AE168" s="1"/>
      <c r="AF168" s="1"/>
      <c r="AG168" s="1"/>
      <c r="AH168" s="1">
        <v>0</v>
      </c>
      <c r="AI168" s="1">
        <v>9811.54</v>
      </c>
      <c r="AJ168" s="6">
        <f t="shared" si="46"/>
        <v>9811.54</v>
      </c>
      <c r="AK168" s="1"/>
      <c r="AL168" s="1"/>
      <c r="AM168" s="1"/>
      <c r="AN168" s="1"/>
      <c r="AO168" s="6">
        <f t="shared" si="47"/>
        <v>9811.54</v>
      </c>
      <c r="AP168" s="91">
        <f t="shared" si="52"/>
        <v>33057.02</v>
      </c>
      <c r="AQ168" s="10"/>
      <c r="AR168" s="10"/>
      <c r="AS168" s="34"/>
      <c r="AT168" s="116">
        <f t="shared" si="44"/>
        <v>33057.02</v>
      </c>
      <c r="AU168" s="134"/>
      <c r="AV168" s="116">
        <f>6973.33+1951.17*4</f>
        <v>14778.01</v>
      </c>
      <c r="AW168" s="116"/>
      <c r="AX168" s="116">
        <f t="shared" si="53"/>
        <v>18279.009999999995</v>
      </c>
      <c r="AY168" s="134">
        <v>5286.51</v>
      </c>
      <c r="AZ168" s="172">
        <f t="shared" si="49"/>
        <v>12992.499999999995</v>
      </c>
      <c r="BA168" s="127">
        <v>42425.78</v>
      </c>
    </row>
    <row r="169" spans="1:53" ht="16.5" customHeight="1">
      <c r="A169" s="1">
        <v>157</v>
      </c>
      <c r="B169" s="84" t="s">
        <v>174</v>
      </c>
      <c r="C169" s="1">
        <v>121.9</v>
      </c>
      <c r="D169" s="1">
        <v>0</v>
      </c>
      <c r="E169" s="7">
        <f t="shared" si="34"/>
        <v>121.9</v>
      </c>
      <c r="F169" s="5">
        <v>2.9</v>
      </c>
      <c r="G169" s="5">
        <v>3.32</v>
      </c>
      <c r="H169" s="5">
        <f t="shared" si="36"/>
        <v>6.22</v>
      </c>
      <c r="I169" s="28">
        <f t="shared" si="37"/>
        <v>4549.308</v>
      </c>
      <c r="J169" s="5">
        <f t="shared" si="38"/>
        <v>3.101611830899999</v>
      </c>
      <c r="K169" s="5">
        <f t="shared" si="39"/>
        <v>3.550810785719999</v>
      </c>
      <c r="L169" s="27">
        <f t="shared" si="40"/>
        <v>6.652422616619998</v>
      </c>
      <c r="M169" s="61">
        <f t="shared" si="41"/>
        <v>4865.5819017958665</v>
      </c>
      <c r="N169" s="34">
        <f t="shared" si="42"/>
        <v>9414.889901795867</v>
      </c>
      <c r="O169" s="34"/>
      <c r="P169" s="34"/>
      <c r="Q169" s="5">
        <f t="shared" si="43"/>
        <v>9414.889901795867</v>
      </c>
      <c r="R169" s="30">
        <f t="shared" si="45"/>
        <v>9414.889901795867</v>
      </c>
      <c r="S169" s="1">
        <v>224.3</v>
      </c>
      <c r="T169" s="1">
        <v>224.3</v>
      </c>
      <c r="U169" s="1">
        <v>224.3</v>
      </c>
      <c r="V169" s="1">
        <v>224.3</v>
      </c>
      <c r="W169" s="1">
        <v>224.3</v>
      </c>
      <c r="X169" s="1">
        <v>224.3</v>
      </c>
      <c r="Y169" s="1">
        <v>240.14</v>
      </c>
      <c r="Z169" s="1">
        <v>240.14</v>
      </c>
      <c r="AA169" s="1">
        <v>240.14</v>
      </c>
      <c r="AB169" s="1">
        <v>92.96</v>
      </c>
      <c r="AC169" s="165">
        <f t="shared" si="50"/>
        <v>2159.18</v>
      </c>
      <c r="AD169" s="1">
        <v>0</v>
      </c>
      <c r="AE169" s="1">
        <v>147.18</v>
      </c>
      <c r="AF169" s="1">
        <v>0</v>
      </c>
      <c r="AG169" s="1">
        <v>240.14</v>
      </c>
      <c r="AH169" s="1">
        <v>0</v>
      </c>
      <c r="AI169" s="1">
        <v>240.14</v>
      </c>
      <c r="AJ169" s="6">
        <f t="shared" si="46"/>
        <v>2786.6399999999994</v>
      </c>
      <c r="AK169" s="1"/>
      <c r="AL169" s="1"/>
      <c r="AM169" s="1"/>
      <c r="AN169" s="1"/>
      <c r="AO169" s="6">
        <f t="shared" si="47"/>
        <v>2786.6399999999994</v>
      </c>
      <c r="AP169" s="91">
        <f t="shared" si="52"/>
        <v>6628.249901795867</v>
      </c>
      <c r="AQ169" s="10">
        <v>2036.29</v>
      </c>
      <c r="AR169" s="10">
        <v>5841.09</v>
      </c>
      <c r="AS169" s="34"/>
      <c r="AT169" s="116">
        <f t="shared" si="44"/>
        <v>14505.629901795866</v>
      </c>
      <c r="AU169" s="116"/>
      <c r="AV169" s="116"/>
      <c r="AW169" s="116"/>
      <c r="AX169" s="116">
        <f t="shared" si="53"/>
        <v>14505.629901795866</v>
      </c>
      <c r="AY169" s="116">
        <v>4195.2</v>
      </c>
      <c r="AZ169" s="172">
        <f t="shared" si="49"/>
        <v>10310.429901795866</v>
      </c>
      <c r="BA169" s="130">
        <v>82307.39</v>
      </c>
    </row>
    <row r="170" spans="1:53" ht="16.5" customHeight="1">
      <c r="A170" s="1">
        <v>158</v>
      </c>
      <c r="B170" s="84" t="s">
        <v>176</v>
      </c>
      <c r="C170" s="1">
        <v>672.2</v>
      </c>
      <c r="D170" s="1">
        <v>0</v>
      </c>
      <c r="E170" s="7">
        <f t="shared" si="34"/>
        <v>672.2</v>
      </c>
      <c r="F170" s="5">
        <v>2.9</v>
      </c>
      <c r="G170" s="5">
        <v>3.46</v>
      </c>
      <c r="H170" s="5">
        <f t="shared" si="36"/>
        <v>6.359999999999999</v>
      </c>
      <c r="I170" s="28">
        <f t="shared" si="37"/>
        <v>25651.152000000002</v>
      </c>
      <c r="J170" s="5">
        <f t="shared" si="38"/>
        <v>3.101611830899999</v>
      </c>
      <c r="K170" s="5">
        <f t="shared" si="39"/>
        <v>3.7005437706599995</v>
      </c>
      <c r="L170" s="27">
        <f t="shared" si="40"/>
        <v>6.802155601559999</v>
      </c>
      <c r="M170" s="61">
        <f t="shared" si="41"/>
        <v>27434.45397221179</v>
      </c>
      <c r="N170" s="34">
        <f t="shared" si="42"/>
        <v>53085.60597221179</v>
      </c>
      <c r="O170" s="34">
        <v>347.39</v>
      </c>
      <c r="P170" s="34"/>
      <c r="Q170" s="5">
        <f t="shared" si="43"/>
        <v>52738.215972211794</v>
      </c>
      <c r="R170" s="30">
        <f t="shared" si="45"/>
        <v>52738.215972211794</v>
      </c>
      <c r="S170" s="1">
        <v>1492.92</v>
      </c>
      <c r="T170" s="1">
        <v>1236.85</v>
      </c>
      <c r="U170" s="1">
        <v>1492.92</v>
      </c>
      <c r="V170" s="1">
        <v>8607.07</v>
      </c>
      <c r="W170" s="1">
        <v>15868.86</v>
      </c>
      <c r="X170" s="1">
        <v>7471.99</v>
      </c>
      <c r="Y170" s="1">
        <v>1324.23</v>
      </c>
      <c r="Z170" s="1">
        <v>1324.23</v>
      </c>
      <c r="AA170" s="1">
        <v>1324.23</v>
      </c>
      <c r="AB170" s="1">
        <v>512.61</v>
      </c>
      <c r="AC170" s="165">
        <f t="shared" si="50"/>
        <v>40655.91000000001</v>
      </c>
      <c r="AD170" s="1">
        <v>0</v>
      </c>
      <c r="AE170" s="1">
        <v>811.63</v>
      </c>
      <c r="AF170" s="1">
        <v>0</v>
      </c>
      <c r="AG170" s="1">
        <v>1324.23</v>
      </c>
      <c r="AH170" s="1">
        <v>0</v>
      </c>
      <c r="AI170" s="1">
        <v>1324.23</v>
      </c>
      <c r="AJ170" s="6">
        <f t="shared" si="46"/>
        <v>44116.000000000015</v>
      </c>
      <c r="AK170" s="1"/>
      <c r="AL170" s="1"/>
      <c r="AM170" s="1">
        <v>3816.67</v>
      </c>
      <c r="AN170" s="1"/>
      <c r="AO170" s="6">
        <f t="shared" si="47"/>
        <v>47932.67000000001</v>
      </c>
      <c r="AP170" s="91">
        <f t="shared" si="52"/>
        <v>4805.545972211781</v>
      </c>
      <c r="AQ170" s="10"/>
      <c r="AR170" s="10"/>
      <c r="AS170" s="34"/>
      <c r="AT170" s="116">
        <f t="shared" si="44"/>
        <v>4805.545972211781</v>
      </c>
      <c r="AU170" s="134"/>
      <c r="AV170" s="116"/>
      <c r="AW170" s="116"/>
      <c r="AX170" s="116">
        <f t="shared" si="53"/>
        <v>4805.545972211781</v>
      </c>
      <c r="AY170" s="134">
        <v>1389.82</v>
      </c>
      <c r="AZ170" s="172">
        <f t="shared" si="49"/>
        <v>3415.7259722117815</v>
      </c>
      <c r="BA170" s="127">
        <v>42015.31</v>
      </c>
    </row>
    <row r="171" spans="1:53" ht="15" customHeight="1">
      <c r="A171" s="1">
        <v>159</v>
      </c>
      <c r="B171" s="84" t="s">
        <v>177</v>
      </c>
      <c r="C171" s="1">
        <v>120.4</v>
      </c>
      <c r="D171" s="1">
        <v>0</v>
      </c>
      <c r="E171" s="7">
        <f t="shared" si="34"/>
        <v>120.4</v>
      </c>
      <c r="F171" s="5">
        <v>2.9</v>
      </c>
      <c r="G171" s="5">
        <v>3.32</v>
      </c>
      <c r="H171" s="5">
        <f t="shared" si="36"/>
        <v>6.22</v>
      </c>
      <c r="I171" s="28">
        <f t="shared" si="37"/>
        <v>4493.328</v>
      </c>
      <c r="J171" s="5">
        <f t="shared" si="38"/>
        <v>3.101611830899999</v>
      </c>
      <c r="K171" s="5">
        <f t="shared" si="39"/>
        <v>3.550810785719999</v>
      </c>
      <c r="L171" s="27">
        <f t="shared" si="40"/>
        <v>6.652422616619998</v>
      </c>
      <c r="M171" s="61">
        <f t="shared" si="41"/>
        <v>4805.710098246287</v>
      </c>
      <c r="N171" s="34">
        <f t="shared" si="42"/>
        <v>9299.038098246288</v>
      </c>
      <c r="O171" s="34"/>
      <c r="P171" s="34"/>
      <c r="Q171" s="5">
        <f t="shared" si="43"/>
        <v>9299.038098246288</v>
      </c>
      <c r="R171" s="30">
        <f t="shared" si="45"/>
        <v>9299.038098246288</v>
      </c>
      <c r="S171" s="1">
        <v>222.46</v>
      </c>
      <c r="T171" s="1">
        <v>222.46</v>
      </c>
      <c r="U171" s="1">
        <v>222.46</v>
      </c>
      <c r="V171" s="1">
        <v>222.46</v>
      </c>
      <c r="W171" s="1">
        <v>222.46</v>
      </c>
      <c r="X171" s="1">
        <v>222.46</v>
      </c>
      <c r="Y171" s="1">
        <v>238.17</v>
      </c>
      <c r="Z171" s="1">
        <v>238.17</v>
      </c>
      <c r="AA171" s="1">
        <v>238.17</v>
      </c>
      <c r="AB171" s="1">
        <v>92.2</v>
      </c>
      <c r="AC171" s="165">
        <f t="shared" si="50"/>
        <v>2141.47</v>
      </c>
      <c r="AD171" s="1">
        <v>0</v>
      </c>
      <c r="AE171" s="1">
        <v>145.98</v>
      </c>
      <c r="AF171" s="1">
        <v>0</v>
      </c>
      <c r="AG171" s="1">
        <v>238.17</v>
      </c>
      <c r="AH171" s="1">
        <v>0</v>
      </c>
      <c r="AI171" s="1">
        <v>238.17</v>
      </c>
      <c r="AJ171" s="6">
        <f t="shared" si="46"/>
        <v>2763.79</v>
      </c>
      <c r="AK171" s="1"/>
      <c r="AL171" s="1"/>
      <c r="AM171" s="1"/>
      <c r="AN171" s="1"/>
      <c r="AO171" s="6">
        <f t="shared" si="47"/>
        <v>2763.79</v>
      </c>
      <c r="AP171" s="91">
        <f t="shared" si="52"/>
        <v>6535.2480982462885</v>
      </c>
      <c r="AQ171" s="10">
        <v>-2947.77</v>
      </c>
      <c r="AR171" s="10">
        <v>5906.96</v>
      </c>
      <c r="AS171" s="34"/>
      <c r="AT171" s="116">
        <f t="shared" si="44"/>
        <v>9494.438098246288</v>
      </c>
      <c r="AU171" s="116"/>
      <c r="AV171" s="116"/>
      <c r="AW171" s="116"/>
      <c r="AX171" s="116">
        <f t="shared" si="53"/>
        <v>9494.438098246288</v>
      </c>
      <c r="AY171" s="116">
        <v>2745.9</v>
      </c>
      <c r="AZ171" s="172">
        <f t="shared" si="49"/>
        <v>6748.538098246288</v>
      </c>
      <c r="BA171" s="130">
        <v>46887.89</v>
      </c>
    </row>
    <row r="172" spans="1:53" ht="12.75" customHeight="1">
      <c r="A172" s="1">
        <v>160</v>
      </c>
      <c r="B172" s="84" t="s">
        <v>178</v>
      </c>
      <c r="C172" s="1">
        <v>723.7</v>
      </c>
      <c r="D172" s="1">
        <v>0</v>
      </c>
      <c r="E172" s="7">
        <f t="shared" si="34"/>
        <v>723.7</v>
      </c>
      <c r="F172" s="5">
        <v>2.9</v>
      </c>
      <c r="G172" s="5">
        <v>6.98</v>
      </c>
      <c r="H172" s="5">
        <f t="shared" si="36"/>
        <v>9.88</v>
      </c>
      <c r="I172" s="28">
        <f t="shared" si="37"/>
        <v>42900.936</v>
      </c>
      <c r="J172" s="5">
        <f t="shared" si="38"/>
        <v>3.101611830899999</v>
      </c>
      <c r="K172" s="5">
        <f t="shared" si="39"/>
        <v>7.465258820579999</v>
      </c>
      <c r="L172" s="27">
        <f t="shared" si="40"/>
        <v>10.566870651479999</v>
      </c>
      <c r="M172" s="61">
        <f t="shared" si="41"/>
        <v>45883.46574285645</v>
      </c>
      <c r="N172" s="34">
        <f t="shared" si="42"/>
        <v>88784.40174285645</v>
      </c>
      <c r="O172" s="34"/>
      <c r="P172" s="34"/>
      <c r="Q172" s="5">
        <f t="shared" si="43"/>
        <v>88784.40174285645</v>
      </c>
      <c r="R172" s="30">
        <f t="shared" si="45"/>
        <v>88784.40174285645</v>
      </c>
      <c r="S172" s="1">
        <v>5367.87</v>
      </c>
      <c r="T172" s="1">
        <v>4107.4</v>
      </c>
      <c r="U172" s="1">
        <v>3566.92</v>
      </c>
      <c r="V172" s="1">
        <v>4501.4</v>
      </c>
      <c r="W172" s="1">
        <v>10201.37</v>
      </c>
      <c r="X172" s="1">
        <v>13748.72</v>
      </c>
      <c r="Y172" s="1">
        <v>3282.32</v>
      </c>
      <c r="Z172" s="1">
        <v>6592.15</v>
      </c>
      <c r="AA172" s="1">
        <v>12140</v>
      </c>
      <c r="AB172" s="1">
        <v>2593.13</v>
      </c>
      <c r="AC172" s="165">
        <f t="shared" si="50"/>
        <v>66101.28</v>
      </c>
      <c r="AD172" s="1">
        <v>1100.02</v>
      </c>
      <c r="AE172" s="1">
        <v>873.81</v>
      </c>
      <c r="AF172" s="1">
        <v>3679.94</v>
      </c>
      <c r="AG172" s="1">
        <v>1603.34</v>
      </c>
      <c r="AH172" s="1">
        <v>4409.11</v>
      </c>
      <c r="AI172" s="1">
        <v>1792.75</v>
      </c>
      <c r="AJ172" s="6">
        <f t="shared" si="46"/>
        <v>79560.25</v>
      </c>
      <c r="AK172" s="1">
        <v>2608</v>
      </c>
      <c r="AL172" s="1"/>
      <c r="AM172" s="1"/>
      <c r="AN172" s="1"/>
      <c r="AO172" s="6">
        <f t="shared" si="47"/>
        <v>82168.25</v>
      </c>
      <c r="AP172" s="136">
        <f t="shared" si="52"/>
        <v>6616.151742856455</v>
      </c>
      <c r="AQ172" s="110">
        <v>-6604.37</v>
      </c>
      <c r="AR172" s="110">
        <v>-18100.91</v>
      </c>
      <c r="AS172" s="111"/>
      <c r="AT172" s="121">
        <f t="shared" si="44"/>
        <v>-18089.128257143544</v>
      </c>
      <c r="AU172" s="121"/>
      <c r="AV172" s="121"/>
      <c r="AW172" s="121"/>
      <c r="AX172" s="121"/>
      <c r="AY172" s="116"/>
      <c r="AZ172" s="172">
        <f t="shared" si="49"/>
        <v>0</v>
      </c>
      <c r="BA172" s="130">
        <v>70857.22</v>
      </c>
    </row>
    <row r="173" spans="1:53" ht="12.75">
      <c r="A173" s="1">
        <v>161</v>
      </c>
      <c r="B173" s="84" t="s">
        <v>179</v>
      </c>
      <c r="C173" s="1">
        <v>715.7</v>
      </c>
      <c r="D173" s="1">
        <v>0</v>
      </c>
      <c r="E173" s="7">
        <f t="shared" si="34"/>
        <v>715.7</v>
      </c>
      <c r="F173" s="5">
        <v>2.9</v>
      </c>
      <c r="G173" s="5">
        <v>6.98</v>
      </c>
      <c r="H173" s="5">
        <f t="shared" si="36"/>
        <v>9.88</v>
      </c>
      <c r="I173" s="28">
        <f t="shared" si="37"/>
        <v>42426.696</v>
      </c>
      <c r="J173" s="5">
        <f t="shared" si="38"/>
        <v>3.101611830899999</v>
      </c>
      <c r="K173" s="5">
        <f t="shared" si="39"/>
        <v>7.465258820579999</v>
      </c>
      <c r="L173" s="27">
        <f t="shared" si="40"/>
        <v>10.566870651479999</v>
      </c>
      <c r="M173" s="61">
        <f t="shared" si="41"/>
        <v>45376.25595158541</v>
      </c>
      <c r="N173" s="34">
        <f t="shared" si="42"/>
        <v>87802.95195158542</v>
      </c>
      <c r="O173" s="34"/>
      <c r="P173" s="34"/>
      <c r="Q173" s="5">
        <f t="shared" si="43"/>
        <v>87802.95195158542</v>
      </c>
      <c r="R173" s="30">
        <f t="shared" si="45"/>
        <v>87802.95195158542</v>
      </c>
      <c r="S173" s="1">
        <v>3153.3</v>
      </c>
      <c r="T173" s="1">
        <v>3409.37</v>
      </c>
      <c r="U173" s="1">
        <v>3531.98</v>
      </c>
      <c r="V173" s="1">
        <v>3311.1</v>
      </c>
      <c r="W173" s="1">
        <v>16331</v>
      </c>
      <c r="X173" s="1">
        <v>10564.29</v>
      </c>
      <c r="Y173" s="1">
        <v>3882.72</v>
      </c>
      <c r="Z173" s="1">
        <v>3360.74</v>
      </c>
      <c r="AA173" s="1">
        <v>4408.41</v>
      </c>
      <c r="AB173" s="1">
        <v>2223.65</v>
      </c>
      <c r="AC173" s="165">
        <f t="shared" si="50"/>
        <v>54176.560000000005</v>
      </c>
      <c r="AD173" s="1">
        <v>1087.26</v>
      </c>
      <c r="AE173" s="1">
        <v>1254.31</v>
      </c>
      <c r="AF173" s="1">
        <v>3659.1</v>
      </c>
      <c r="AG173" s="1">
        <v>1586.79</v>
      </c>
      <c r="AH173" s="1">
        <v>3074.37</v>
      </c>
      <c r="AI173" s="1">
        <v>1893.35</v>
      </c>
      <c r="AJ173" s="6">
        <f t="shared" si="46"/>
        <v>66731.74</v>
      </c>
      <c r="AK173" s="1"/>
      <c r="AL173" s="1"/>
      <c r="AM173" s="1"/>
      <c r="AN173" s="1"/>
      <c r="AO173" s="6">
        <f t="shared" si="47"/>
        <v>66731.74</v>
      </c>
      <c r="AP173" s="91">
        <f t="shared" si="52"/>
        <v>21071.211951585414</v>
      </c>
      <c r="AQ173" s="10">
        <v>9874.13</v>
      </c>
      <c r="AR173" s="10">
        <v>-27194.82</v>
      </c>
      <c r="AS173" s="34"/>
      <c r="AT173" s="116">
        <f t="shared" si="44"/>
        <v>3750.5219515854114</v>
      </c>
      <c r="AU173" s="116"/>
      <c r="AV173" s="116"/>
      <c r="AW173" s="116">
        <v>2314</v>
      </c>
      <c r="AX173" s="116">
        <f aca="true" t="shared" si="54" ref="AX173:AX179">AT173+AU173-AV173-AW173</f>
        <v>1436.5219515854114</v>
      </c>
      <c r="AY173" s="116">
        <v>415.46</v>
      </c>
      <c r="AZ173" s="172">
        <f t="shared" si="49"/>
        <v>1021.0619515854114</v>
      </c>
      <c r="BA173" s="130">
        <v>91383.71</v>
      </c>
    </row>
    <row r="174" spans="1:53" ht="12.75">
      <c r="A174" s="1">
        <v>162</v>
      </c>
      <c r="B174" s="84" t="s">
        <v>180</v>
      </c>
      <c r="C174" s="1">
        <v>644.1</v>
      </c>
      <c r="D174" s="1">
        <v>99.5</v>
      </c>
      <c r="E174" s="7">
        <f t="shared" si="34"/>
        <v>743.6</v>
      </c>
      <c r="F174" s="5">
        <v>2.9</v>
      </c>
      <c r="G174" s="5">
        <v>6.98</v>
      </c>
      <c r="H174" s="5">
        <f t="shared" si="36"/>
        <v>9.88</v>
      </c>
      <c r="I174" s="28">
        <f t="shared" si="37"/>
        <v>44080.60800000001</v>
      </c>
      <c r="J174" s="5">
        <f t="shared" si="38"/>
        <v>3.101611830899999</v>
      </c>
      <c r="K174" s="5">
        <f t="shared" si="39"/>
        <v>7.465258820579999</v>
      </c>
      <c r="L174" s="27">
        <f t="shared" si="40"/>
        <v>10.566870651479999</v>
      </c>
      <c r="M174" s="61">
        <f t="shared" si="41"/>
        <v>47145.150098643164</v>
      </c>
      <c r="N174" s="34">
        <f t="shared" si="42"/>
        <v>91225.75809864317</v>
      </c>
      <c r="O174" s="34"/>
      <c r="P174" s="34"/>
      <c r="Q174" s="5">
        <f t="shared" si="43"/>
        <v>91225.75809864317</v>
      </c>
      <c r="R174" s="30">
        <f t="shared" si="45"/>
        <v>91225.75809864317</v>
      </c>
      <c r="S174" s="1">
        <v>4596.62</v>
      </c>
      <c r="T174" s="1">
        <v>3527.1</v>
      </c>
      <c r="U174" s="1">
        <v>8186.87</v>
      </c>
      <c r="V174" s="1">
        <v>3271.03</v>
      </c>
      <c r="W174" s="1">
        <v>16426.65</v>
      </c>
      <c r="X174" s="1">
        <v>5168.27</v>
      </c>
      <c r="Y174" s="1">
        <v>3486.67</v>
      </c>
      <c r="Z174" s="1">
        <v>3486.67</v>
      </c>
      <c r="AA174" s="1">
        <v>3486.67</v>
      </c>
      <c r="AB174" s="1">
        <v>1458.56</v>
      </c>
      <c r="AC174" s="165">
        <f t="shared" si="50"/>
        <v>53095.11</v>
      </c>
      <c r="AD174" s="1">
        <v>2912.09</v>
      </c>
      <c r="AE174" s="1">
        <v>897.84</v>
      </c>
      <c r="AF174" s="1">
        <v>3729.29</v>
      </c>
      <c r="AG174" s="1">
        <v>1642.54</v>
      </c>
      <c r="AH174" s="1">
        <v>2308.35</v>
      </c>
      <c r="AI174" s="1">
        <v>1642.54</v>
      </c>
      <c r="AJ174" s="6">
        <f t="shared" si="46"/>
        <v>66227.76</v>
      </c>
      <c r="AK174" s="1"/>
      <c r="AL174" s="1"/>
      <c r="AM174" s="1"/>
      <c r="AN174" s="1"/>
      <c r="AO174" s="6">
        <f t="shared" si="47"/>
        <v>66227.76</v>
      </c>
      <c r="AP174" s="91">
        <f t="shared" si="52"/>
        <v>24997.998098643176</v>
      </c>
      <c r="AQ174" s="10">
        <v>3275.74</v>
      </c>
      <c r="AR174" s="10">
        <v>27148.47</v>
      </c>
      <c r="AS174" s="34"/>
      <c r="AT174" s="116">
        <f t="shared" si="44"/>
        <v>55422.208098643176</v>
      </c>
      <c r="AU174" s="116"/>
      <c r="AV174" s="116"/>
      <c r="AW174" s="116"/>
      <c r="AX174" s="116">
        <f t="shared" si="54"/>
        <v>55422.208098643176</v>
      </c>
      <c r="AY174" s="116">
        <v>16028.76</v>
      </c>
      <c r="AZ174" s="172">
        <f t="shared" si="49"/>
        <v>39393.44809864317</v>
      </c>
      <c r="BA174" s="130">
        <v>69261.88</v>
      </c>
    </row>
    <row r="175" spans="1:53" ht="12.75">
      <c r="A175" s="1">
        <v>163</v>
      </c>
      <c r="B175" s="1" t="s">
        <v>181</v>
      </c>
      <c r="C175" s="1">
        <v>2072.9</v>
      </c>
      <c r="D175" s="1">
        <v>0</v>
      </c>
      <c r="E175" s="7">
        <f t="shared" si="34"/>
        <v>2072.9</v>
      </c>
      <c r="F175" s="5">
        <v>2.9</v>
      </c>
      <c r="G175" s="5">
        <v>7.85</v>
      </c>
      <c r="H175" s="5">
        <f t="shared" si="36"/>
        <v>10.75</v>
      </c>
      <c r="I175" s="28">
        <f t="shared" si="37"/>
        <v>133702.05</v>
      </c>
      <c r="J175" s="5">
        <f t="shared" si="38"/>
        <v>3.101611830899999</v>
      </c>
      <c r="K175" s="5">
        <f t="shared" si="39"/>
        <v>8.395742369849998</v>
      </c>
      <c r="L175" s="27">
        <f t="shared" si="40"/>
        <v>11.497354200749998</v>
      </c>
      <c r="M175" s="61">
        <f t="shared" si="41"/>
        <v>142997.19313640802</v>
      </c>
      <c r="N175" s="34">
        <f t="shared" si="42"/>
        <v>276699.24313640804</v>
      </c>
      <c r="O175" s="34"/>
      <c r="P175" s="34"/>
      <c r="Q175" s="5">
        <f t="shared" si="43"/>
        <v>276699.24313640804</v>
      </c>
      <c r="R175" s="30">
        <f t="shared" si="45"/>
        <v>276699.24313640804</v>
      </c>
      <c r="S175" s="1">
        <v>7013.65</v>
      </c>
      <c r="T175" s="1">
        <v>8682.67</v>
      </c>
      <c r="U175" s="1">
        <v>8985.95</v>
      </c>
      <c r="V175" s="1">
        <v>6745.08</v>
      </c>
      <c r="W175" s="1">
        <v>5327.1</v>
      </c>
      <c r="X175" s="1">
        <v>10964.59</v>
      </c>
      <c r="Y175" s="1">
        <v>5562.23</v>
      </c>
      <c r="Z175" s="1">
        <v>8952.67</v>
      </c>
      <c r="AA175" s="1">
        <v>5752.57</v>
      </c>
      <c r="AB175" s="1">
        <v>2032.52</v>
      </c>
      <c r="AC175" s="165">
        <f t="shared" si="50"/>
        <v>70019.02999999998</v>
      </c>
      <c r="AD175" s="1">
        <v>0</v>
      </c>
      <c r="AE175" s="1">
        <v>4430.91</v>
      </c>
      <c r="AF175" s="1"/>
      <c r="AG175" s="1">
        <v>7635.93</v>
      </c>
      <c r="AH175" s="1">
        <v>0</v>
      </c>
      <c r="AI175" s="1">
        <v>8647.28</v>
      </c>
      <c r="AJ175" s="6">
        <f t="shared" si="46"/>
        <v>90733.15</v>
      </c>
      <c r="AK175" s="1"/>
      <c r="AL175" s="1"/>
      <c r="AM175" s="1">
        <v>3816.67</v>
      </c>
      <c r="AN175" s="1"/>
      <c r="AO175" s="6">
        <f t="shared" si="47"/>
        <v>94549.81999999999</v>
      </c>
      <c r="AP175" s="91">
        <f t="shared" si="52"/>
        <v>182149.42313640803</v>
      </c>
      <c r="AQ175" s="10"/>
      <c r="AR175" s="10"/>
      <c r="AS175" s="34"/>
      <c r="AT175" s="116">
        <f t="shared" si="44"/>
        <v>182149.42313640803</v>
      </c>
      <c r="AU175" s="116"/>
      <c r="AV175" s="116">
        <f>1388.84*4+450</f>
        <v>6005.36</v>
      </c>
      <c r="AW175" s="116"/>
      <c r="AX175" s="116">
        <f t="shared" si="54"/>
        <v>176144.06313640805</v>
      </c>
      <c r="AY175" s="116">
        <v>51073.08</v>
      </c>
      <c r="AZ175" s="172">
        <f t="shared" si="49"/>
        <v>125070.98313640805</v>
      </c>
      <c r="BA175" s="130">
        <v>217464.62</v>
      </c>
    </row>
    <row r="176" spans="1:53" ht="12.75">
      <c r="A176" s="1">
        <v>164</v>
      </c>
      <c r="B176" s="1" t="s">
        <v>411</v>
      </c>
      <c r="C176" s="36">
        <v>4075.1</v>
      </c>
      <c r="D176" s="1">
        <v>0</v>
      </c>
      <c r="E176" s="7">
        <f>C176+D176</f>
        <v>4075.1</v>
      </c>
      <c r="F176" s="5">
        <v>2.9</v>
      </c>
      <c r="G176" s="5">
        <v>7.85</v>
      </c>
      <c r="H176" s="5">
        <f>F176+G176</f>
        <v>10.75</v>
      </c>
      <c r="I176" s="28">
        <f>E176*H176*3</f>
        <v>131421.97499999998</v>
      </c>
      <c r="J176" s="5">
        <f>F176*1.067*1.002363</f>
        <v>3.101611830899999</v>
      </c>
      <c r="K176" s="5">
        <f>G176*1.067*1.002363</f>
        <v>8.395742369849998</v>
      </c>
      <c r="L176" s="27">
        <f>J176+K176</f>
        <v>11.497354200749998</v>
      </c>
      <c r="M176" s="61">
        <f>L176*E176*6</f>
        <v>281117.2086208579</v>
      </c>
      <c r="N176" s="34">
        <f t="shared" si="42"/>
        <v>412539.1836208579</v>
      </c>
      <c r="O176" s="34"/>
      <c r="P176" s="34"/>
      <c r="Q176" s="5">
        <f>N176-O176</f>
        <v>412539.1836208579</v>
      </c>
      <c r="R176" s="30">
        <f>Q176+P176</f>
        <v>412539.1836208579</v>
      </c>
      <c r="S176" s="1">
        <v>0</v>
      </c>
      <c r="T176" s="1">
        <v>0</v>
      </c>
      <c r="U176" s="1">
        <v>0</v>
      </c>
      <c r="V176" s="1">
        <v>17464.57</v>
      </c>
      <c r="W176" s="1">
        <v>17108.25</v>
      </c>
      <c r="X176" s="1">
        <v>17265.78</v>
      </c>
      <c r="Y176" s="1">
        <v>18134.2</v>
      </c>
      <c r="Z176" s="1">
        <v>18638.71</v>
      </c>
      <c r="AA176" s="1">
        <v>18272.59</v>
      </c>
      <c r="AB176" s="1">
        <v>7695.31</v>
      </c>
      <c r="AC176" s="165">
        <f t="shared" si="50"/>
        <v>114579.41</v>
      </c>
      <c r="AD176" s="1">
        <v>0</v>
      </c>
      <c r="AE176" s="1">
        <v>20904.79</v>
      </c>
      <c r="AF176" s="1"/>
      <c r="AG176" s="1">
        <v>21550.43</v>
      </c>
      <c r="AH176" s="1">
        <v>0</v>
      </c>
      <c r="AI176" s="1">
        <v>23870.37</v>
      </c>
      <c r="AJ176" s="6">
        <f t="shared" si="46"/>
        <v>180905</v>
      </c>
      <c r="AK176" s="1"/>
      <c r="AL176" s="1"/>
      <c r="AM176" s="1"/>
      <c r="AN176" s="1"/>
      <c r="AO176" s="6">
        <f t="shared" si="47"/>
        <v>180905</v>
      </c>
      <c r="AP176" s="91">
        <f t="shared" si="52"/>
        <v>231634.1836208579</v>
      </c>
      <c r="AQ176" s="10"/>
      <c r="AR176" s="10"/>
      <c r="AS176" s="34"/>
      <c r="AT176" s="116">
        <f t="shared" si="44"/>
        <v>231634.1836208579</v>
      </c>
      <c r="AU176" s="134"/>
      <c r="AV176" s="144">
        <f>96875.96+6973.34+2730.32*4</f>
        <v>114770.58</v>
      </c>
      <c r="AW176" s="116"/>
      <c r="AX176" s="116">
        <f t="shared" si="54"/>
        <v>116863.60362085789</v>
      </c>
      <c r="AY176" s="134">
        <v>33798.33</v>
      </c>
      <c r="AZ176" s="172">
        <f t="shared" si="49"/>
        <v>83065.27362085789</v>
      </c>
      <c r="BA176" s="127">
        <v>199270.16</v>
      </c>
    </row>
    <row r="177" spans="1:53" ht="16.5" customHeight="1">
      <c r="A177" s="1">
        <v>165</v>
      </c>
      <c r="B177" s="1" t="s">
        <v>182</v>
      </c>
      <c r="C177" s="1">
        <v>746.4</v>
      </c>
      <c r="D177" s="1">
        <v>0</v>
      </c>
      <c r="E177" s="7">
        <f aca="true" t="shared" si="55" ref="E177:E186">C177+D177</f>
        <v>746.4</v>
      </c>
      <c r="F177" s="5">
        <v>2.9</v>
      </c>
      <c r="G177" s="5">
        <v>3.29</v>
      </c>
      <c r="H177" s="5">
        <f aca="true" t="shared" si="56" ref="H177:H205">F177+G177</f>
        <v>6.1899999999999995</v>
      </c>
      <c r="I177" s="28">
        <f aca="true" t="shared" si="57" ref="I177:I205">E177*H177*6</f>
        <v>27721.295999999995</v>
      </c>
      <c r="J177" s="5">
        <f aca="true" t="shared" si="58" ref="J177:J205">F177*1.067*1.002363</f>
        <v>3.101611830899999</v>
      </c>
      <c r="K177" s="5">
        <f aca="true" t="shared" si="59" ref="K177:K205">G177*1.067*1.002363</f>
        <v>3.5187251460899995</v>
      </c>
      <c r="L177" s="27">
        <f aca="true" t="shared" si="60" ref="L177:L205">J177+K177</f>
        <v>6.620336976989998</v>
      </c>
      <c r="M177" s="61">
        <f aca="true" t="shared" si="61" ref="M177:M205">L177*E177*6</f>
        <v>29648.51711775201</v>
      </c>
      <c r="N177" s="34">
        <f aca="true" t="shared" si="62" ref="N177:N205">I177+M177</f>
        <v>57369.813117752004</v>
      </c>
      <c r="O177" s="34">
        <v>2876.26</v>
      </c>
      <c r="P177" s="34">
        <v>4955.84</v>
      </c>
      <c r="Q177" s="5">
        <f aca="true" t="shared" si="63" ref="Q177:Q205">N177-O177</f>
        <v>54493.553117752</v>
      </c>
      <c r="R177" s="30">
        <f aca="true" t="shared" si="64" ref="R177:R205">Q177+P177</f>
        <v>59449.393117752</v>
      </c>
      <c r="S177" s="1">
        <v>1726.21</v>
      </c>
      <c r="T177" s="1">
        <v>1373.38</v>
      </c>
      <c r="U177" s="1">
        <v>1373.38</v>
      </c>
      <c r="V177" s="1">
        <v>1373.38</v>
      </c>
      <c r="W177" s="1">
        <v>1373.38</v>
      </c>
      <c r="X177" s="1">
        <v>1554.91</v>
      </c>
      <c r="Y177" s="1">
        <v>2069.79</v>
      </c>
      <c r="Z177" s="1">
        <v>1470.41</v>
      </c>
      <c r="AA177" s="1">
        <v>3689.89</v>
      </c>
      <c r="AB177" s="1">
        <v>569.19</v>
      </c>
      <c r="AC177" s="165">
        <f t="shared" si="50"/>
        <v>16573.92</v>
      </c>
      <c r="AD177" s="1">
        <v>0</v>
      </c>
      <c r="AE177" s="1">
        <v>1746.51</v>
      </c>
      <c r="AF177" s="1"/>
      <c r="AG177" s="1">
        <v>7438.09</v>
      </c>
      <c r="AH177" s="1">
        <v>0</v>
      </c>
      <c r="AI177" s="1">
        <v>10965.43</v>
      </c>
      <c r="AJ177" s="6">
        <f t="shared" si="46"/>
        <v>36723.95</v>
      </c>
      <c r="AK177" s="1"/>
      <c r="AL177" s="1"/>
      <c r="AM177" s="1"/>
      <c r="AN177" s="1"/>
      <c r="AO177" s="6">
        <f t="shared" si="47"/>
        <v>36723.95</v>
      </c>
      <c r="AP177" s="91">
        <f t="shared" si="52"/>
        <v>22725.443117752002</v>
      </c>
      <c r="AQ177" s="10"/>
      <c r="AR177" s="10"/>
      <c r="AS177" s="34"/>
      <c r="AT177" s="116">
        <f t="shared" si="44"/>
        <v>22725.443117752002</v>
      </c>
      <c r="AU177" s="116"/>
      <c r="AV177" s="116">
        <v>10013</v>
      </c>
      <c r="AW177" s="116"/>
      <c r="AX177" s="146">
        <f t="shared" si="54"/>
        <v>12712.443117752002</v>
      </c>
      <c r="AY177" s="116">
        <v>3676.59</v>
      </c>
      <c r="AZ177" s="172">
        <f t="shared" si="49"/>
        <v>9035.853117752002</v>
      </c>
      <c r="BA177" s="130">
        <v>23492.11</v>
      </c>
    </row>
    <row r="178" spans="1:53" ht="14.25" customHeight="1">
      <c r="A178" s="1">
        <v>166</v>
      </c>
      <c r="B178" s="1" t="s">
        <v>183</v>
      </c>
      <c r="C178" s="1">
        <v>470.1</v>
      </c>
      <c r="D178" s="1">
        <v>0</v>
      </c>
      <c r="E178" s="7">
        <f t="shared" si="55"/>
        <v>470.1</v>
      </c>
      <c r="F178" s="5">
        <v>2.9</v>
      </c>
      <c r="G178" s="5">
        <v>3.29</v>
      </c>
      <c r="H178" s="5">
        <f t="shared" si="56"/>
        <v>6.1899999999999995</v>
      </c>
      <c r="I178" s="28">
        <f t="shared" si="57"/>
        <v>17459.514</v>
      </c>
      <c r="J178" s="5">
        <f t="shared" si="58"/>
        <v>3.101611830899999</v>
      </c>
      <c r="K178" s="5">
        <f t="shared" si="59"/>
        <v>3.5187251460899995</v>
      </c>
      <c r="L178" s="27">
        <f t="shared" si="60"/>
        <v>6.620336976989998</v>
      </c>
      <c r="M178" s="61">
        <f t="shared" si="61"/>
        <v>18673.322477297992</v>
      </c>
      <c r="N178" s="34">
        <f t="shared" si="62"/>
        <v>36132.83647729799</v>
      </c>
      <c r="O178" s="34">
        <v>6468.6</v>
      </c>
      <c r="P178" s="34">
        <v>3588.61</v>
      </c>
      <c r="Q178" s="5">
        <f t="shared" si="63"/>
        <v>29664.236477297993</v>
      </c>
      <c r="R178" s="30">
        <f t="shared" si="64"/>
        <v>33252.84647729799</v>
      </c>
      <c r="S178" s="1">
        <v>864.98</v>
      </c>
      <c r="T178" s="1">
        <v>864.98</v>
      </c>
      <c r="U178" s="1">
        <v>864.98</v>
      </c>
      <c r="V178" s="1">
        <v>864.98</v>
      </c>
      <c r="W178" s="1">
        <v>864.98</v>
      </c>
      <c r="X178" s="1">
        <v>3180.92</v>
      </c>
      <c r="Y178" s="1">
        <v>1525.48</v>
      </c>
      <c r="Z178" s="1">
        <v>1430.61</v>
      </c>
      <c r="AA178" s="1">
        <v>2075.29</v>
      </c>
      <c r="AB178" s="1">
        <v>753.49</v>
      </c>
      <c r="AC178" s="165">
        <f t="shared" si="50"/>
        <v>13290.69</v>
      </c>
      <c r="AD178" s="1">
        <v>0</v>
      </c>
      <c r="AE178" s="1">
        <v>1412.9</v>
      </c>
      <c r="AF178" s="1"/>
      <c r="AG178" s="1">
        <v>3909.94</v>
      </c>
      <c r="AH178" s="1">
        <v>0</v>
      </c>
      <c r="AI178" s="1">
        <v>926.1</v>
      </c>
      <c r="AJ178" s="6">
        <f t="shared" si="46"/>
        <v>19539.629999999997</v>
      </c>
      <c r="AK178" s="1"/>
      <c r="AL178" s="1"/>
      <c r="AM178" s="1"/>
      <c r="AN178" s="1"/>
      <c r="AO178" s="6">
        <f t="shared" si="47"/>
        <v>19539.629999999997</v>
      </c>
      <c r="AP178" s="91">
        <f t="shared" si="52"/>
        <v>13713.216477297996</v>
      </c>
      <c r="AQ178" s="10"/>
      <c r="AR178" s="10"/>
      <c r="AS178" s="34"/>
      <c r="AT178" s="116">
        <f t="shared" si="44"/>
        <v>13713.216477297996</v>
      </c>
      <c r="AU178" s="116"/>
      <c r="AV178" s="116"/>
      <c r="AW178" s="116"/>
      <c r="AX178" s="146">
        <f t="shared" si="54"/>
        <v>13713.216477297996</v>
      </c>
      <c r="AY178" s="116">
        <v>3966.02</v>
      </c>
      <c r="AZ178" s="172">
        <f t="shared" si="49"/>
        <v>9747.196477297995</v>
      </c>
      <c r="BA178" s="130">
        <v>37336.92</v>
      </c>
    </row>
    <row r="179" spans="1:54" ht="15" customHeight="1">
      <c r="A179" s="1">
        <v>167</v>
      </c>
      <c r="B179" s="1" t="s">
        <v>184</v>
      </c>
      <c r="C179" s="1">
        <v>465.4</v>
      </c>
      <c r="D179" s="1">
        <v>0</v>
      </c>
      <c r="E179" s="7">
        <f t="shared" si="55"/>
        <v>465.4</v>
      </c>
      <c r="F179" s="5">
        <v>2.9</v>
      </c>
      <c r="G179" s="5">
        <v>3.29</v>
      </c>
      <c r="H179" s="5">
        <f t="shared" si="56"/>
        <v>6.1899999999999995</v>
      </c>
      <c r="I179" s="28">
        <f t="shared" si="57"/>
        <v>17284.956</v>
      </c>
      <c r="J179" s="5">
        <f t="shared" si="58"/>
        <v>3.101611830899999</v>
      </c>
      <c r="K179" s="5">
        <f t="shared" si="59"/>
        <v>3.5187251460899995</v>
      </c>
      <c r="L179" s="27">
        <f t="shared" si="60"/>
        <v>6.620336976989998</v>
      </c>
      <c r="M179" s="61">
        <f t="shared" si="61"/>
        <v>18486.628974546868</v>
      </c>
      <c r="N179" s="34">
        <f t="shared" si="62"/>
        <v>35771.584974546866</v>
      </c>
      <c r="O179" s="34"/>
      <c r="P179" s="34"/>
      <c r="Q179" s="5">
        <f t="shared" si="63"/>
        <v>35771.584974546866</v>
      </c>
      <c r="R179" s="30">
        <f t="shared" si="64"/>
        <v>35771.584974546866</v>
      </c>
      <c r="S179" s="1">
        <v>856.34</v>
      </c>
      <c r="T179" s="1">
        <v>856.34</v>
      </c>
      <c r="U179" s="1">
        <v>856.34</v>
      </c>
      <c r="V179" s="1">
        <v>856.34</v>
      </c>
      <c r="W179" s="1">
        <v>856.34</v>
      </c>
      <c r="X179" s="1">
        <v>856.34</v>
      </c>
      <c r="Y179" s="1">
        <v>2169.13</v>
      </c>
      <c r="Z179" s="1">
        <v>11665.1</v>
      </c>
      <c r="AA179" s="1">
        <v>916.84</v>
      </c>
      <c r="AB179" s="1">
        <v>354.91</v>
      </c>
      <c r="AC179" s="165">
        <f t="shared" si="50"/>
        <v>20244.02</v>
      </c>
      <c r="AD179" s="1">
        <v>0</v>
      </c>
      <c r="AE179" s="1">
        <v>1407.22</v>
      </c>
      <c r="AF179" s="1"/>
      <c r="AG179" s="1">
        <v>916.84</v>
      </c>
      <c r="AH179" s="1">
        <v>0</v>
      </c>
      <c r="AI179" s="1">
        <v>916.84</v>
      </c>
      <c r="AJ179" s="6">
        <f t="shared" si="46"/>
        <v>23484.920000000002</v>
      </c>
      <c r="AK179" s="1"/>
      <c r="AL179" s="1"/>
      <c r="AM179" s="1"/>
      <c r="AN179" s="1"/>
      <c r="AO179" s="6">
        <f t="shared" si="47"/>
        <v>23484.920000000002</v>
      </c>
      <c r="AP179" s="91">
        <f t="shared" si="52"/>
        <v>12286.664974546864</v>
      </c>
      <c r="AQ179" s="10">
        <v>18867.06</v>
      </c>
      <c r="AR179" s="10">
        <v>5122.06</v>
      </c>
      <c r="AS179" s="34"/>
      <c r="AT179" s="116">
        <f t="shared" si="44"/>
        <v>36275.78497454686</v>
      </c>
      <c r="AU179" s="116"/>
      <c r="AV179" s="162">
        <f>8663.67+27612.11</f>
        <v>36275.78</v>
      </c>
      <c r="AW179" s="116"/>
      <c r="AX179" s="146">
        <f t="shared" si="54"/>
        <v>0.004974546864104923</v>
      </c>
      <c r="AY179" s="116"/>
      <c r="AZ179" s="172">
        <f t="shared" si="49"/>
        <v>0.004974546864104923</v>
      </c>
      <c r="BA179" s="130">
        <v>17924.87</v>
      </c>
      <c r="BB179" s="163"/>
    </row>
    <row r="180" spans="1:53" ht="12.75" customHeight="1">
      <c r="A180" s="1">
        <v>168</v>
      </c>
      <c r="B180" s="1" t="s">
        <v>185</v>
      </c>
      <c r="C180" s="1">
        <v>458.4</v>
      </c>
      <c r="D180" s="1">
        <v>0</v>
      </c>
      <c r="E180" s="7">
        <f t="shared" si="55"/>
        <v>458.4</v>
      </c>
      <c r="F180" s="5">
        <v>2.9</v>
      </c>
      <c r="G180" s="5">
        <v>6.98</v>
      </c>
      <c r="H180" s="5">
        <f t="shared" si="56"/>
        <v>9.88</v>
      </c>
      <c r="I180" s="28">
        <f t="shared" si="57"/>
        <v>27173.952</v>
      </c>
      <c r="J180" s="5">
        <f t="shared" si="58"/>
        <v>3.101611830899999</v>
      </c>
      <c r="K180" s="5">
        <f t="shared" si="59"/>
        <v>7.465258820579999</v>
      </c>
      <c r="L180" s="27">
        <f t="shared" si="60"/>
        <v>10.566870651479999</v>
      </c>
      <c r="M180" s="61">
        <f t="shared" si="61"/>
        <v>29063.121039830585</v>
      </c>
      <c r="N180" s="34">
        <f t="shared" si="62"/>
        <v>56237.07303983059</v>
      </c>
      <c r="O180" s="34"/>
      <c r="P180" s="34"/>
      <c r="Q180" s="5">
        <f t="shared" si="63"/>
        <v>56237.07303983059</v>
      </c>
      <c r="R180" s="30">
        <f t="shared" si="64"/>
        <v>56237.07303983059</v>
      </c>
      <c r="S180" s="1">
        <v>4847.58</v>
      </c>
      <c r="T180" s="1">
        <v>2163.01</v>
      </c>
      <c r="U180" s="1">
        <v>1906.94</v>
      </c>
      <c r="V180" s="1">
        <v>16915.96</v>
      </c>
      <c r="W180" s="1">
        <v>2163.01</v>
      </c>
      <c r="X180" s="1">
        <v>14286.88</v>
      </c>
      <c r="Y180" s="1">
        <v>2639.26</v>
      </c>
      <c r="Z180" s="1">
        <v>2039.88</v>
      </c>
      <c r="AA180" s="1">
        <v>2039.88</v>
      </c>
      <c r="AB180" s="1">
        <v>5139.31</v>
      </c>
      <c r="AC180" s="165">
        <f t="shared" si="50"/>
        <v>54141.70999999999</v>
      </c>
      <c r="AD180" s="1">
        <v>0</v>
      </c>
      <c r="AE180" s="1">
        <v>2095.54</v>
      </c>
      <c r="AF180" s="1"/>
      <c r="AG180" s="1">
        <v>2039.88</v>
      </c>
      <c r="AH180" s="1">
        <v>0</v>
      </c>
      <c r="AI180" s="1">
        <v>2039.88</v>
      </c>
      <c r="AJ180" s="6">
        <f t="shared" si="46"/>
        <v>60317.00999999999</v>
      </c>
      <c r="AK180" s="1"/>
      <c r="AL180" s="1"/>
      <c r="AM180" s="1"/>
      <c r="AN180" s="1"/>
      <c r="AO180" s="6">
        <f t="shared" si="47"/>
        <v>60317.00999999999</v>
      </c>
      <c r="AP180" s="136">
        <f t="shared" si="52"/>
        <v>-4079.936960169398</v>
      </c>
      <c r="AQ180" s="110">
        <v>-26065.23</v>
      </c>
      <c r="AR180" s="110">
        <v>-12935.19</v>
      </c>
      <c r="AS180" s="111"/>
      <c r="AT180" s="111">
        <f t="shared" si="44"/>
        <v>-43080.356960169396</v>
      </c>
      <c r="AU180" s="133"/>
      <c r="AV180" s="111"/>
      <c r="AW180" s="111"/>
      <c r="AX180" s="111"/>
      <c r="AY180" s="134"/>
      <c r="AZ180" s="172">
        <f t="shared" si="49"/>
        <v>0</v>
      </c>
      <c r="BA180" s="127">
        <v>6522.98</v>
      </c>
    </row>
    <row r="181" spans="1:53" ht="12.75">
      <c r="A181" s="1">
        <v>169</v>
      </c>
      <c r="B181" s="1" t="s">
        <v>186</v>
      </c>
      <c r="C181" s="1">
        <v>452.2</v>
      </c>
      <c r="D181" s="1">
        <v>0</v>
      </c>
      <c r="E181" s="7">
        <f t="shared" si="55"/>
        <v>452.2</v>
      </c>
      <c r="F181" s="5">
        <v>2.9</v>
      </c>
      <c r="G181" s="5">
        <v>6.98</v>
      </c>
      <c r="H181" s="5">
        <f t="shared" si="56"/>
        <v>9.88</v>
      </c>
      <c r="I181" s="28">
        <f t="shared" si="57"/>
        <v>26806.415999999997</v>
      </c>
      <c r="J181" s="5">
        <f t="shared" si="58"/>
        <v>3.101611830899999</v>
      </c>
      <c r="K181" s="5">
        <f t="shared" si="59"/>
        <v>7.465258820579999</v>
      </c>
      <c r="L181" s="27">
        <f t="shared" si="60"/>
        <v>10.566870651479999</v>
      </c>
      <c r="M181" s="61">
        <f t="shared" si="61"/>
        <v>28670.03345159553</v>
      </c>
      <c r="N181" s="34">
        <f t="shared" si="62"/>
        <v>55476.44945159553</v>
      </c>
      <c r="O181" s="34">
        <v>33641.53</v>
      </c>
      <c r="P181" s="34">
        <v>23343.07</v>
      </c>
      <c r="Q181" s="5">
        <f t="shared" si="63"/>
        <v>21834.91945159553</v>
      </c>
      <c r="R181" s="30">
        <f t="shared" si="64"/>
        <v>45177.98945159553</v>
      </c>
      <c r="S181" s="1">
        <v>4663.47</v>
      </c>
      <c r="T181" s="1">
        <v>2314.87</v>
      </c>
      <c r="U181" s="1">
        <v>2058.8</v>
      </c>
      <c r="V181" s="1">
        <v>2058.8</v>
      </c>
      <c r="W181" s="1">
        <v>2314.87</v>
      </c>
      <c r="X181" s="1">
        <v>2058.8</v>
      </c>
      <c r="Y181" s="1">
        <v>2189.94</v>
      </c>
      <c r="Z181" s="1">
        <v>2189.94</v>
      </c>
      <c r="AA181" s="1">
        <v>2189.94</v>
      </c>
      <c r="AB181" s="1">
        <v>956.6</v>
      </c>
      <c r="AC181" s="165">
        <f t="shared" si="50"/>
        <v>22996.02999999999</v>
      </c>
      <c r="AD181" s="1">
        <v>0</v>
      </c>
      <c r="AE181" s="1">
        <v>2078.63</v>
      </c>
      <c r="AF181" s="1"/>
      <c r="AG181" s="1">
        <v>2189.94</v>
      </c>
      <c r="AH181" s="1">
        <v>0</v>
      </c>
      <c r="AI181" s="1">
        <v>2461.15</v>
      </c>
      <c r="AJ181" s="6">
        <f t="shared" si="46"/>
        <v>29725.749999999993</v>
      </c>
      <c r="AK181" s="1"/>
      <c r="AL181" s="1"/>
      <c r="AM181" s="1"/>
      <c r="AN181" s="1"/>
      <c r="AO181" s="6">
        <f t="shared" si="47"/>
        <v>29725.749999999993</v>
      </c>
      <c r="AP181" s="91">
        <f t="shared" si="52"/>
        <v>15452.239451595538</v>
      </c>
      <c r="AQ181" s="10"/>
      <c r="AR181" s="10"/>
      <c r="AS181" s="34"/>
      <c r="AT181" s="116">
        <f t="shared" si="44"/>
        <v>15452.239451595538</v>
      </c>
      <c r="AU181" s="116"/>
      <c r="AV181" s="116"/>
      <c r="AW181" s="116">
        <v>2257</v>
      </c>
      <c r="AX181" s="146">
        <f>AT181+AU181-AV181-AW181</f>
        <v>13195.239451595538</v>
      </c>
      <c r="AY181" s="116">
        <v>3816.22</v>
      </c>
      <c r="AZ181" s="172">
        <f t="shared" si="49"/>
        <v>9379.019451595539</v>
      </c>
      <c r="BA181" s="130">
        <v>24693.12</v>
      </c>
    </row>
    <row r="182" spans="1:53" ht="12.75" customHeight="1">
      <c r="A182" s="1">
        <v>170</v>
      </c>
      <c r="B182" s="84" t="s">
        <v>187</v>
      </c>
      <c r="C182" s="1">
        <v>4874.93</v>
      </c>
      <c r="D182" s="1">
        <v>0</v>
      </c>
      <c r="E182" s="7">
        <f t="shared" si="55"/>
        <v>4874.93</v>
      </c>
      <c r="F182" s="5">
        <v>2.9</v>
      </c>
      <c r="G182" s="5">
        <v>7.85</v>
      </c>
      <c r="H182" s="5">
        <f t="shared" si="56"/>
        <v>10.75</v>
      </c>
      <c r="I182" s="28">
        <f t="shared" si="57"/>
        <v>314432.98500000004</v>
      </c>
      <c r="J182" s="5">
        <f t="shared" si="58"/>
        <v>3.101611830899999</v>
      </c>
      <c r="K182" s="5">
        <f t="shared" si="59"/>
        <v>8.395742369849998</v>
      </c>
      <c r="L182" s="27">
        <f t="shared" si="60"/>
        <v>11.497354200749998</v>
      </c>
      <c r="M182" s="61">
        <f t="shared" si="61"/>
        <v>336292.78148317314</v>
      </c>
      <c r="N182" s="34">
        <f t="shared" si="62"/>
        <v>650725.7664831732</v>
      </c>
      <c r="O182" s="34"/>
      <c r="P182" s="34"/>
      <c r="Q182" s="5">
        <f t="shared" si="63"/>
        <v>650725.7664831732</v>
      </c>
      <c r="R182" s="30">
        <f t="shared" si="64"/>
        <v>650725.7664831732</v>
      </c>
      <c r="S182" s="1">
        <v>31355.63</v>
      </c>
      <c r="T182" s="1">
        <v>21660.17</v>
      </c>
      <c r="U182" s="1">
        <v>41406.65</v>
      </c>
      <c r="V182" s="1">
        <v>34895.76</v>
      </c>
      <c r="W182" s="1">
        <v>24138.01</v>
      </c>
      <c r="X182" s="1">
        <v>32617.02</v>
      </c>
      <c r="Y182" s="1">
        <v>69591.15</v>
      </c>
      <c r="Z182" s="1">
        <v>312772.84</v>
      </c>
      <c r="AA182" s="1">
        <v>206133.24</v>
      </c>
      <c r="AB182" s="1">
        <v>18173.94</v>
      </c>
      <c r="AC182" s="165">
        <f t="shared" si="50"/>
        <v>792744.4099999999</v>
      </c>
      <c r="AD182" s="1">
        <v>17859.78</v>
      </c>
      <c r="AE182" s="1">
        <v>11155.55</v>
      </c>
      <c r="AF182" s="1">
        <v>17211.48</v>
      </c>
      <c r="AG182" s="1">
        <v>10565.63</v>
      </c>
      <c r="AH182" s="1">
        <v>24881.28</v>
      </c>
      <c r="AI182" s="1">
        <v>15951.52</v>
      </c>
      <c r="AJ182" s="6">
        <f t="shared" si="46"/>
        <v>890369.65</v>
      </c>
      <c r="AK182" s="1">
        <f>4141+1914</f>
        <v>6055</v>
      </c>
      <c r="AL182" s="1"/>
      <c r="AM182" s="1"/>
      <c r="AN182" s="1"/>
      <c r="AO182" s="6">
        <f t="shared" si="47"/>
        <v>896424.65</v>
      </c>
      <c r="AP182" s="136">
        <f t="shared" si="52"/>
        <v>-245698.88351682678</v>
      </c>
      <c r="AQ182" s="110"/>
      <c r="AR182" s="110">
        <v>5535.53</v>
      </c>
      <c r="AS182" s="111"/>
      <c r="AT182" s="111">
        <f t="shared" si="44"/>
        <v>-240163.35351682678</v>
      </c>
      <c r="AU182" s="121"/>
      <c r="AV182" s="111"/>
      <c r="AW182" s="111"/>
      <c r="AX182" s="111"/>
      <c r="AY182" s="116"/>
      <c r="AZ182" s="172">
        <f t="shared" si="49"/>
        <v>0</v>
      </c>
      <c r="BA182" s="130">
        <v>315695.31</v>
      </c>
    </row>
    <row r="183" spans="1:53" ht="12.75">
      <c r="A183" s="1">
        <v>171</v>
      </c>
      <c r="B183" s="1" t="s">
        <v>188</v>
      </c>
      <c r="C183" s="1">
        <v>753.3</v>
      </c>
      <c r="D183" s="1">
        <v>0</v>
      </c>
      <c r="E183" s="7">
        <f t="shared" si="55"/>
        <v>753.3</v>
      </c>
      <c r="F183" s="5">
        <v>2.9</v>
      </c>
      <c r="G183" s="5">
        <v>6.02</v>
      </c>
      <c r="H183" s="5">
        <f t="shared" si="56"/>
        <v>8.92</v>
      </c>
      <c r="I183" s="28">
        <f t="shared" si="57"/>
        <v>40316.615999999995</v>
      </c>
      <c r="J183" s="5">
        <f t="shared" si="58"/>
        <v>3.101611830899999</v>
      </c>
      <c r="K183" s="5">
        <f t="shared" si="59"/>
        <v>6.438518352419999</v>
      </c>
      <c r="L183" s="27">
        <f t="shared" si="60"/>
        <v>9.540130183319999</v>
      </c>
      <c r="M183" s="61">
        <f t="shared" si="61"/>
        <v>43119.48040256973</v>
      </c>
      <c r="N183" s="34">
        <f t="shared" si="62"/>
        <v>83436.09640256973</v>
      </c>
      <c r="O183" s="34">
        <v>3680.23</v>
      </c>
      <c r="P183" s="34">
        <v>13364.24</v>
      </c>
      <c r="Q183" s="5">
        <f t="shared" si="63"/>
        <v>79755.86640256974</v>
      </c>
      <c r="R183" s="30">
        <f t="shared" si="64"/>
        <v>93120.10640256974</v>
      </c>
      <c r="S183" s="1">
        <v>3787.21</v>
      </c>
      <c r="T183" s="1">
        <v>3743.02</v>
      </c>
      <c r="U183" s="1">
        <v>3486.95</v>
      </c>
      <c r="V183" s="1">
        <v>3486.95</v>
      </c>
      <c r="W183" s="1">
        <v>4456.21</v>
      </c>
      <c r="X183" s="1">
        <v>13407.1</v>
      </c>
      <c r="Y183" s="1">
        <v>4304.64</v>
      </c>
      <c r="Z183" s="1">
        <v>3705.26</v>
      </c>
      <c r="AA183" s="1">
        <v>3705.26</v>
      </c>
      <c r="AB183" s="1">
        <v>16275.24</v>
      </c>
      <c r="AC183" s="165">
        <f t="shared" si="50"/>
        <v>60357.840000000004</v>
      </c>
      <c r="AD183" s="1">
        <v>0</v>
      </c>
      <c r="AE183" s="1">
        <v>2898.49</v>
      </c>
      <c r="AF183" s="1"/>
      <c r="AG183" s="1">
        <v>6500.71</v>
      </c>
      <c r="AH183" s="1">
        <v>0</v>
      </c>
      <c r="AI183" s="1">
        <v>3976.47</v>
      </c>
      <c r="AJ183" s="6">
        <f t="shared" si="46"/>
        <v>73733.51000000001</v>
      </c>
      <c r="AK183" s="1">
        <f>9537</f>
        <v>9537</v>
      </c>
      <c r="AL183" s="1"/>
      <c r="AM183" s="1"/>
      <c r="AN183" s="1"/>
      <c r="AO183" s="6">
        <f t="shared" si="47"/>
        <v>83270.51000000001</v>
      </c>
      <c r="AP183" s="91">
        <f t="shared" si="52"/>
        <v>9849.596402569732</v>
      </c>
      <c r="AQ183" s="10"/>
      <c r="AR183" s="10"/>
      <c r="AS183" s="34"/>
      <c r="AT183" s="116">
        <f t="shared" si="44"/>
        <v>9849.596402569732</v>
      </c>
      <c r="AU183" s="116"/>
      <c r="AV183" s="116">
        <v>800</v>
      </c>
      <c r="AW183" s="116"/>
      <c r="AX183" s="116">
        <f>AT183+AU183-AV183-AW183</f>
        <v>9049.596402569732</v>
      </c>
      <c r="AY183" s="116">
        <v>2617.25</v>
      </c>
      <c r="AZ183" s="172">
        <f t="shared" si="49"/>
        <v>6432.346402569732</v>
      </c>
      <c r="BA183" s="130">
        <v>32210.7</v>
      </c>
    </row>
    <row r="184" spans="1:53" ht="12.75">
      <c r="A184" s="1">
        <v>172</v>
      </c>
      <c r="B184" s="1" t="s">
        <v>189</v>
      </c>
      <c r="C184" s="1">
        <v>1015.2</v>
      </c>
      <c r="D184" s="1">
        <v>482.8</v>
      </c>
      <c r="E184" s="7">
        <f t="shared" si="55"/>
        <v>1498</v>
      </c>
      <c r="F184" s="5">
        <v>2.9</v>
      </c>
      <c r="G184" s="5">
        <v>7.18</v>
      </c>
      <c r="H184" s="5">
        <f t="shared" si="56"/>
        <v>10.08</v>
      </c>
      <c r="I184" s="28">
        <f t="shared" si="57"/>
        <v>90599.04000000001</v>
      </c>
      <c r="J184" s="5">
        <f t="shared" si="58"/>
        <v>3.101611830899999</v>
      </c>
      <c r="K184" s="5">
        <f t="shared" si="59"/>
        <v>7.679163084779998</v>
      </c>
      <c r="L184" s="27">
        <f t="shared" si="60"/>
        <v>10.780774915679997</v>
      </c>
      <c r="M184" s="61">
        <f t="shared" si="61"/>
        <v>96897.60494213182</v>
      </c>
      <c r="N184" s="34">
        <f t="shared" si="62"/>
        <v>187496.64494213182</v>
      </c>
      <c r="O184" s="34"/>
      <c r="P184" s="34"/>
      <c r="Q184" s="5">
        <f t="shared" si="63"/>
        <v>187496.64494213182</v>
      </c>
      <c r="R184" s="30">
        <f t="shared" si="64"/>
        <v>187496.64494213182</v>
      </c>
      <c r="S184" s="1">
        <v>32698.72</v>
      </c>
      <c r="T184" s="1">
        <v>20148.46</v>
      </c>
      <c r="U184" s="1">
        <v>12753.93</v>
      </c>
      <c r="V184" s="1">
        <v>8366.01</v>
      </c>
      <c r="W184" s="1">
        <v>6401.35</v>
      </c>
      <c r="X184" s="1">
        <v>5892.64</v>
      </c>
      <c r="Y184" s="1">
        <v>10143.09</v>
      </c>
      <c r="Z184" s="1">
        <v>16194.96</v>
      </c>
      <c r="AA184" s="1">
        <v>6303.43</v>
      </c>
      <c r="AB184" s="1">
        <v>3488.38</v>
      </c>
      <c r="AC184" s="165">
        <f t="shared" si="50"/>
        <v>122390.97</v>
      </c>
      <c r="AD184" s="1">
        <v>0</v>
      </c>
      <c r="AE184" s="1">
        <v>7941.49</v>
      </c>
      <c r="AF184" s="1"/>
      <c r="AG184" s="1">
        <v>8169.26</v>
      </c>
      <c r="AH184" s="1">
        <v>0</v>
      </c>
      <c r="AI184" s="1">
        <v>16871.7</v>
      </c>
      <c r="AJ184" s="6">
        <f t="shared" si="46"/>
        <v>155373.42</v>
      </c>
      <c r="AK184" s="1"/>
      <c r="AL184" s="1"/>
      <c r="AM184" s="1"/>
      <c r="AN184" s="1"/>
      <c r="AO184" s="6">
        <f t="shared" si="47"/>
        <v>155373.42</v>
      </c>
      <c r="AP184" s="91">
        <f t="shared" si="52"/>
        <v>32123.224942131812</v>
      </c>
      <c r="AQ184" s="10"/>
      <c r="AR184" s="10">
        <v>-20777.93</v>
      </c>
      <c r="AS184" s="34"/>
      <c r="AT184" s="116">
        <f t="shared" si="44"/>
        <v>11345.294942131812</v>
      </c>
      <c r="AU184" s="134"/>
      <c r="AV184" s="116"/>
      <c r="AW184" s="116">
        <f>396+1728+420</f>
        <v>2544</v>
      </c>
      <c r="AX184" s="146">
        <f>AT184+AU184-AV184-AW184</f>
        <v>8801.294942131812</v>
      </c>
      <c r="AY184" s="134">
        <v>2545.44</v>
      </c>
      <c r="AZ184" s="172">
        <f t="shared" si="49"/>
        <v>6255.854942131811</v>
      </c>
      <c r="BA184" s="127">
        <v>20769.17</v>
      </c>
    </row>
    <row r="185" spans="1:53" ht="12.75" customHeight="1">
      <c r="A185" s="1">
        <v>173</v>
      </c>
      <c r="B185" s="1" t="s">
        <v>190</v>
      </c>
      <c r="C185" s="1">
        <v>1468.2</v>
      </c>
      <c r="D185" s="1">
        <v>705.6</v>
      </c>
      <c r="E185" s="7">
        <f t="shared" si="55"/>
        <v>2173.8</v>
      </c>
      <c r="F185" s="5">
        <v>2.9</v>
      </c>
      <c r="G185" s="5">
        <v>7.15</v>
      </c>
      <c r="H185" s="5">
        <f t="shared" si="56"/>
        <v>10.05</v>
      </c>
      <c r="I185" s="28">
        <f t="shared" si="57"/>
        <v>131080.14</v>
      </c>
      <c r="J185" s="5">
        <f t="shared" si="58"/>
        <v>3.101611830899999</v>
      </c>
      <c r="K185" s="5">
        <f t="shared" si="59"/>
        <v>7.64707744515</v>
      </c>
      <c r="L185" s="27">
        <f t="shared" si="60"/>
        <v>10.74868927605</v>
      </c>
      <c r="M185" s="61">
        <f t="shared" si="61"/>
        <v>140193.00448966492</v>
      </c>
      <c r="N185" s="34">
        <f t="shared" si="62"/>
        <v>271273.14448966493</v>
      </c>
      <c r="O185" s="34">
        <v>23382.12</v>
      </c>
      <c r="P185" s="34">
        <v>7610.69</v>
      </c>
      <c r="Q185" s="5">
        <f t="shared" si="63"/>
        <v>247891.02448966494</v>
      </c>
      <c r="R185" s="30">
        <f t="shared" si="64"/>
        <v>255501.71448966494</v>
      </c>
      <c r="S185" s="1">
        <v>20312.59</v>
      </c>
      <c r="T185" s="1">
        <v>10938.97</v>
      </c>
      <c r="U185" s="1">
        <v>33667.13</v>
      </c>
      <c r="V185" s="1">
        <v>13160.23</v>
      </c>
      <c r="W185" s="1">
        <v>10075.53</v>
      </c>
      <c r="X185" s="1">
        <v>105892.2</v>
      </c>
      <c r="Y185" s="1">
        <v>14559.31</v>
      </c>
      <c r="Z185" s="1">
        <v>10491.78</v>
      </c>
      <c r="AA185" s="1">
        <v>10705.79</v>
      </c>
      <c r="AB185" s="1">
        <v>5569.2</v>
      </c>
      <c r="AC185" s="165">
        <f t="shared" si="50"/>
        <v>235372.73</v>
      </c>
      <c r="AD185" s="1">
        <v>0</v>
      </c>
      <c r="AE185" s="1">
        <v>10655.92</v>
      </c>
      <c r="AF185" s="1"/>
      <c r="AG185" s="1">
        <v>12318.56</v>
      </c>
      <c r="AH185" s="1">
        <v>0</v>
      </c>
      <c r="AI185" s="1">
        <v>27543.82</v>
      </c>
      <c r="AJ185" s="6">
        <f t="shared" si="46"/>
        <v>285891.03</v>
      </c>
      <c r="AK185" s="1">
        <f>1335</f>
        <v>1335</v>
      </c>
      <c r="AL185" s="1"/>
      <c r="AM185" s="1"/>
      <c r="AN185" s="1"/>
      <c r="AO185" s="6">
        <f t="shared" si="47"/>
        <v>287226.03</v>
      </c>
      <c r="AP185" s="136">
        <f t="shared" si="52"/>
        <v>-31724.315510335087</v>
      </c>
      <c r="AQ185" s="110"/>
      <c r="AR185" s="110"/>
      <c r="AS185" s="111"/>
      <c r="AT185" s="111">
        <f t="shared" si="44"/>
        <v>-31724.315510335087</v>
      </c>
      <c r="AU185" s="121"/>
      <c r="AV185" s="111"/>
      <c r="AW185" s="111"/>
      <c r="AX185" s="111"/>
      <c r="AY185" s="116"/>
      <c r="AZ185" s="172">
        <f t="shared" si="49"/>
        <v>0</v>
      </c>
      <c r="BA185" s="130">
        <v>112116.3</v>
      </c>
    </row>
    <row r="186" spans="1:53" ht="12.75" customHeight="1">
      <c r="A186" s="1">
        <v>174</v>
      </c>
      <c r="B186" s="84" t="s">
        <v>191</v>
      </c>
      <c r="C186" s="1">
        <v>5748.7</v>
      </c>
      <c r="D186" s="1">
        <v>72.5</v>
      </c>
      <c r="E186" s="7">
        <f t="shared" si="55"/>
        <v>5821.2</v>
      </c>
      <c r="F186" s="5">
        <v>2.9</v>
      </c>
      <c r="G186" s="5">
        <v>7.85</v>
      </c>
      <c r="H186" s="5">
        <f t="shared" si="56"/>
        <v>10.75</v>
      </c>
      <c r="I186" s="28">
        <f t="shared" si="57"/>
        <v>375467.4</v>
      </c>
      <c r="J186" s="5">
        <f t="shared" si="58"/>
        <v>3.101611830899999</v>
      </c>
      <c r="K186" s="5">
        <f t="shared" si="59"/>
        <v>8.395742369849998</v>
      </c>
      <c r="L186" s="27">
        <f t="shared" si="60"/>
        <v>11.497354200749998</v>
      </c>
      <c r="M186" s="61">
        <f t="shared" si="61"/>
        <v>401570.3896404353</v>
      </c>
      <c r="N186" s="34">
        <f t="shared" si="62"/>
        <v>777037.7896404353</v>
      </c>
      <c r="O186" s="34">
        <v>167072.78</v>
      </c>
      <c r="P186" s="34"/>
      <c r="Q186" s="5">
        <f t="shared" si="63"/>
        <v>609965.0096404352</v>
      </c>
      <c r="R186" s="30">
        <f t="shared" si="64"/>
        <v>609965.0096404352</v>
      </c>
      <c r="S186" s="1">
        <v>56119.32</v>
      </c>
      <c r="T186" s="1">
        <v>28325.6</v>
      </c>
      <c r="U186" s="1">
        <v>31818.38</v>
      </c>
      <c r="V186" s="1">
        <v>40868.23</v>
      </c>
      <c r="W186" s="1">
        <v>30747.4</v>
      </c>
      <c r="X186" s="1">
        <v>30347.86</v>
      </c>
      <c r="Y186" s="1">
        <v>34034.16</v>
      </c>
      <c r="Z186" s="1">
        <v>45986.66</v>
      </c>
      <c r="AA186" s="1">
        <v>33030.45</v>
      </c>
      <c r="AB186" s="1">
        <v>15732.28</v>
      </c>
      <c r="AC186" s="165">
        <f t="shared" si="50"/>
        <v>347010.34</v>
      </c>
      <c r="AD186" s="1">
        <v>24223.05</v>
      </c>
      <c r="AE186" s="1">
        <v>12457.6</v>
      </c>
      <c r="AF186" s="1">
        <v>57649.42</v>
      </c>
      <c r="AG186" s="1">
        <v>31338.17</v>
      </c>
      <c r="AH186" s="1">
        <v>56003.08</v>
      </c>
      <c r="AI186" s="1">
        <v>123710.21</v>
      </c>
      <c r="AJ186" s="6">
        <f t="shared" si="46"/>
        <v>652391.8699999999</v>
      </c>
      <c r="AK186" s="1"/>
      <c r="AL186" s="1"/>
      <c r="AM186" s="1"/>
      <c r="AN186" s="1"/>
      <c r="AO186" s="6">
        <f t="shared" si="47"/>
        <v>652391.8699999999</v>
      </c>
      <c r="AP186" s="136">
        <f t="shared" si="52"/>
        <v>-42426.86035956466</v>
      </c>
      <c r="AQ186" s="110"/>
      <c r="AR186" s="110"/>
      <c r="AS186" s="111"/>
      <c r="AT186" s="111">
        <f t="shared" si="44"/>
        <v>-42426.86035956466</v>
      </c>
      <c r="AU186" s="121"/>
      <c r="AV186" s="111"/>
      <c r="AW186" s="111"/>
      <c r="AX186" s="111"/>
      <c r="AY186" s="116"/>
      <c r="AZ186" s="172">
        <f t="shared" si="49"/>
        <v>0</v>
      </c>
      <c r="BA186" s="130">
        <v>272228.32</v>
      </c>
    </row>
    <row r="187" spans="1:53" ht="12.75">
      <c r="A187" s="1">
        <v>175</v>
      </c>
      <c r="B187" s="84" t="s">
        <v>192</v>
      </c>
      <c r="C187" s="1">
        <v>2469.9</v>
      </c>
      <c r="D187" s="1">
        <v>0</v>
      </c>
      <c r="E187" s="7">
        <f aca="true" t="shared" si="65" ref="E187:E245">C187+D187</f>
        <v>2469.9</v>
      </c>
      <c r="F187" s="5">
        <v>2.9</v>
      </c>
      <c r="G187" s="5">
        <v>7.85</v>
      </c>
      <c r="H187" s="5">
        <f t="shared" si="56"/>
        <v>10.75</v>
      </c>
      <c r="I187" s="28">
        <f t="shared" si="57"/>
        <v>159308.55</v>
      </c>
      <c r="J187" s="5">
        <f t="shared" si="58"/>
        <v>3.101611830899999</v>
      </c>
      <c r="K187" s="5">
        <f t="shared" si="59"/>
        <v>8.395742369849998</v>
      </c>
      <c r="L187" s="27">
        <f t="shared" si="60"/>
        <v>11.497354200749998</v>
      </c>
      <c r="M187" s="61">
        <f t="shared" si="61"/>
        <v>170383.89084259453</v>
      </c>
      <c r="N187" s="34">
        <f t="shared" si="62"/>
        <v>329692.4408425945</v>
      </c>
      <c r="O187" s="34">
        <v>63695.22</v>
      </c>
      <c r="P187" s="34"/>
      <c r="Q187" s="5">
        <f t="shared" si="63"/>
        <v>265997.2208425945</v>
      </c>
      <c r="R187" s="30">
        <f t="shared" si="64"/>
        <v>265997.2208425945</v>
      </c>
      <c r="S187" s="1">
        <v>25858.62</v>
      </c>
      <c r="T187" s="1">
        <v>20692.81</v>
      </c>
      <c r="U187" s="1">
        <v>11746.55</v>
      </c>
      <c r="V187" s="1">
        <v>16542.03</v>
      </c>
      <c r="W187" s="1">
        <v>15815.95</v>
      </c>
      <c r="X187" s="1">
        <v>21570.77</v>
      </c>
      <c r="Y187" s="1">
        <v>20460.86</v>
      </c>
      <c r="Z187" s="1">
        <v>25355.64</v>
      </c>
      <c r="AA187" s="1">
        <v>32085.38</v>
      </c>
      <c r="AB187" s="1">
        <v>4430.18</v>
      </c>
      <c r="AC187" s="165">
        <f t="shared" si="50"/>
        <v>194558.78999999998</v>
      </c>
      <c r="AD187" s="1">
        <v>3752.42</v>
      </c>
      <c r="AE187" s="1">
        <v>2980.76</v>
      </c>
      <c r="AF187" s="1">
        <v>6634.83</v>
      </c>
      <c r="AG187" s="1">
        <v>5756.63</v>
      </c>
      <c r="AH187" s="1">
        <v>8195.7</v>
      </c>
      <c r="AI187" s="1">
        <v>22118.51</v>
      </c>
      <c r="AJ187" s="6">
        <f t="shared" si="46"/>
        <v>243997.64</v>
      </c>
      <c r="AK187" s="1"/>
      <c r="AL187" s="1"/>
      <c r="AM187" s="1"/>
      <c r="AN187" s="1"/>
      <c r="AO187" s="6">
        <f t="shared" si="47"/>
        <v>243997.64</v>
      </c>
      <c r="AP187" s="91">
        <f t="shared" si="52"/>
        <v>21999.5808425945</v>
      </c>
      <c r="AQ187" s="10"/>
      <c r="AR187" s="10"/>
      <c r="AS187" s="34"/>
      <c r="AT187" s="116">
        <f t="shared" si="44"/>
        <v>21999.5808425945</v>
      </c>
      <c r="AU187" s="134"/>
      <c r="AV187" s="116">
        <f>1654.1*4</f>
        <v>6616.4</v>
      </c>
      <c r="AW187" s="116"/>
      <c r="AX187" s="116">
        <f>AT187+AU187-AV187-AW187</f>
        <v>15383.1808425945</v>
      </c>
      <c r="AY187" s="134">
        <v>4449</v>
      </c>
      <c r="AZ187" s="172">
        <f t="shared" si="49"/>
        <v>10934.1808425945</v>
      </c>
      <c r="BA187" s="127">
        <v>45445.82</v>
      </c>
    </row>
    <row r="188" spans="1:53" ht="12.75" customHeight="1">
      <c r="A188" s="1">
        <v>176</v>
      </c>
      <c r="B188" s="1" t="s">
        <v>193</v>
      </c>
      <c r="C188" s="1">
        <v>1521.6</v>
      </c>
      <c r="D188" s="1">
        <v>302.8</v>
      </c>
      <c r="E188" s="7">
        <f t="shared" si="65"/>
        <v>1824.3999999999999</v>
      </c>
      <c r="F188" s="5">
        <v>2.9</v>
      </c>
      <c r="G188" s="5">
        <v>7.15</v>
      </c>
      <c r="H188" s="5">
        <f t="shared" si="56"/>
        <v>10.05</v>
      </c>
      <c r="I188" s="28">
        <f t="shared" si="57"/>
        <v>110011.32</v>
      </c>
      <c r="J188" s="5">
        <f t="shared" si="58"/>
        <v>3.101611830899999</v>
      </c>
      <c r="K188" s="5">
        <f t="shared" si="59"/>
        <v>7.64707744515</v>
      </c>
      <c r="L188" s="27">
        <f t="shared" si="60"/>
        <v>10.74868927605</v>
      </c>
      <c r="M188" s="61">
        <f t="shared" si="61"/>
        <v>117659.45229135371</v>
      </c>
      <c r="N188" s="34">
        <f t="shared" si="62"/>
        <v>227670.77229135373</v>
      </c>
      <c r="O188" s="34"/>
      <c r="P188" s="34"/>
      <c r="Q188" s="5">
        <f t="shared" si="63"/>
        <v>227670.77229135373</v>
      </c>
      <c r="R188" s="30">
        <f t="shared" si="64"/>
        <v>227670.77229135373</v>
      </c>
      <c r="S188" s="1">
        <v>17197.61</v>
      </c>
      <c r="T188" s="1">
        <v>8788.4</v>
      </c>
      <c r="U188" s="1">
        <v>16785</v>
      </c>
      <c r="V188" s="1">
        <v>8725.26</v>
      </c>
      <c r="W188" s="1">
        <v>20696.23</v>
      </c>
      <c r="X188" s="1">
        <v>14613.82</v>
      </c>
      <c r="Y188" s="1">
        <v>14075.08</v>
      </c>
      <c r="Z188" s="1">
        <v>22393.16</v>
      </c>
      <c r="AA188" s="1">
        <v>22150.74</v>
      </c>
      <c r="AB188" s="1">
        <v>3320.33</v>
      </c>
      <c r="AC188" s="165">
        <f t="shared" si="50"/>
        <v>148745.63</v>
      </c>
      <c r="AD188" s="1">
        <v>0</v>
      </c>
      <c r="AE188" s="1">
        <v>15601.56</v>
      </c>
      <c r="AF188" s="1"/>
      <c r="AG188" s="1">
        <v>13274.21</v>
      </c>
      <c r="AH188" s="1">
        <v>0</v>
      </c>
      <c r="AI188" s="1">
        <v>24108.39</v>
      </c>
      <c r="AJ188" s="6">
        <f t="shared" si="46"/>
        <v>201729.78999999998</v>
      </c>
      <c r="AK188" s="1"/>
      <c r="AL188" s="1"/>
      <c r="AM188" s="1"/>
      <c r="AN188" s="1"/>
      <c r="AO188" s="6">
        <f t="shared" si="47"/>
        <v>201729.78999999998</v>
      </c>
      <c r="AP188" s="136">
        <f t="shared" si="52"/>
        <v>25940.98229135375</v>
      </c>
      <c r="AQ188" s="110"/>
      <c r="AR188" s="110">
        <v>-32928.78</v>
      </c>
      <c r="AS188" s="111"/>
      <c r="AT188" s="121">
        <f t="shared" si="44"/>
        <v>-6987.797708646249</v>
      </c>
      <c r="AU188" s="121"/>
      <c r="AV188" s="121"/>
      <c r="AW188" s="121"/>
      <c r="AX188" s="121"/>
      <c r="AY188" s="116"/>
      <c r="AZ188" s="172">
        <f t="shared" si="49"/>
        <v>0</v>
      </c>
      <c r="BA188" s="130">
        <v>179132.88</v>
      </c>
    </row>
    <row r="189" spans="1:53" ht="12.75">
      <c r="A189" s="1">
        <v>177</v>
      </c>
      <c r="B189" s="1" t="s">
        <v>194</v>
      </c>
      <c r="C189" s="1">
        <v>1286.9</v>
      </c>
      <c r="D189" s="1">
        <v>0</v>
      </c>
      <c r="E189" s="7">
        <f t="shared" si="65"/>
        <v>1286.9</v>
      </c>
      <c r="F189" s="5">
        <v>2.9</v>
      </c>
      <c r="G189" s="5">
        <v>6.98</v>
      </c>
      <c r="H189" s="5">
        <f t="shared" si="56"/>
        <v>9.88</v>
      </c>
      <c r="I189" s="28">
        <f t="shared" si="57"/>
        <v>76287.43200000002</v>
      </c>
      <c r="J189" s="5">
        <f t="shared" si="58"/>
        <v>3.101611830899999</v>
      </c>
      <c r="K189" s="5">
        <f t="shared" si="59"/>
        <v>7.465258820579999</v>
      </c>
      <c r="L189" s="27">
        <f t="shared" si="60"/>
        <v>10.566870651479999</v>
      </c>
      <c r="M189" s="61">
        <f t="shared" si="61"/>
        <v>81591.03504833767</v>
      </c>
      <c r="N189" s="34">
        <f t="shared" si="62"/>
        <v>157878.46704833768</v>
      </c>
      <c r="O189" s="34"/>
      <c r="P189" s="34"/>
      <c r="Q189" s="5">
        <f t="shared" si="63"/>
        <v>157878.46704833768</v>
      </c>
      <c r="R189" s="30">
        <f t="shared" si="64"/>
        <v>157878.46704833768</v>
      </c>
      <c r="S189" s="1">
        <v>31650.18</v>
      </c>
      <c r="T189" s="1">
        <v>14633.5</v>
      </c>
      <c r="U189" s="1">
        <v>14838.26</v>
      </c>
      <c r="V189" s="1">
        <v>6872.55</v>
      </c>
      <c r="W189" s="1">
        <v>5344.77</v>
      </c>
      <c r="X189" s="1">
        <v>8536.92</v>
      </c>
      <c r="Y189" s="1">
        <v>9204.69</v>
      </c>
      <c r="Z189" s="1">
        <v>22155.88</v>
      </c>
      <c r="AA189" s="1">
        <v>12800.73</v>
      </c>
      <c r="AB189" s="1">
        <v>2213.17</v>
      </c>
      <c r="AC189" s="165">
        <f t="shared" si="50"/>
        <v>128250.65000000001</v>
      </c>
      <c r="AD189" s="1">
        <v>0</v>
      </c>
      <c r="AE189" s="1">
        <v>7743.15</v>
      </c>
      <c r="AF189" s="1"/>
      <c r="AG189" s="1">
        <v>8663.64</v>
      </c>
      <c r="AH189" s="1">
        <v>0</v>
      </c>
      <c r="AI189" s="1">
        <v>14333.27</v>
      </c>
      <c r="AJ189" s="6">
        <f t="shared" si="46"/>
        <v>158990.71</v>
      </c>
      <c r="AK189" s="1"/>
      <c r="AL189" s="1"/>
      <c r="AM189" s="1"/>
      <c r="AN189" s="1"/>
      <c r="AO189" s="6">
        <f t="shared" si="47"/>
        <v>158990.71</v>
      </c>
      <c r="AP189" s="91">
        <f t="shared" si="52"/>
        <v>-1112.2429516623088</v>
      </c>
      <c r="AQ189" s="10">
        <v>25378.43</v>
      </c>
      <c r="AR189" s="10">
        <v>-2975.6</v>
      </c>
      <c r="AS189" s="34"/>
      <c r="AT189" s="34">
        <f t="shared" si="44"/>
        <v>21290.587048337693</v>
      </c>
      <c r="AU189" s="116"/>
      <c r="AV189" s="34"/>
      <c r="AW189" s="116"/>
      <c r="AX189" s="146">
        <f>AT189+AU189-AV189-AW189</f>
        <v>21290.587048337693</v>
      </c>
      <c r="AY189" s="116">
        <v>6157.49</v>
      </c>
      <c r="AZ189" s="172">
        <f t="shared" si="49"/>
        <v>15133.097048337693</v>
      </c>
      <c r="BA189" s="130">
        <v>91571.13</v>
      </c>
    </row>
    <row r="190" spans="1:53" ht="18.75" customHeight="1">
      <c r="A190" s="1">
        <v>178</v>
      </c>
      <c r="B190" s="1" t="s">
        <v>195</v>
      </c>
      <c r="C190" s="1">
        <v>1342.6</v>
      </c>
      <c r="D190" s="1">
        <v>469.7</v>
      </c>
      <c r="E190" s="7">
        <f t="shared" si="65"/>
        <v>1812.3</v>
      </c>
      <c r="F190" s="5">
        <v>2.9</v>
      </c>
      <c r="G190" s="5">
        <v>3.4</v>
      </c>
      <c r="H190" s="5">
        <f t="shared" si="56"/>
        <v>6.3</v>
      </c>
      <c r="I190" s="28">
        <f t="shared" si="57"/>
        <v>68504.94</v>
      </c>
      <c r="J190" s="5">
        <f t="shared" si="58"/>
        <v>3.101611830899999</v>
      </c>
      <c r="K190" s="5">
        <f t="shared" si="59"/>
        <v>3.6363724913999995</v>
      </c>
      <c r="L190" s="27">
        <f t="shared" si="60"/>
        <v>6.737984322299999</v>
      </c>
      <c r="M190" s="61">
        <f t="shared" si="61"/>
        <v>73267.49392382574</v>
      </c>
      <c r="N190" s="34">
        <f t="shared" si="62"/>
        <v>141772.43392382574</v>
      </c>
      <c r="O190" s="34"/>
      <c r="P190" s="34"/>
      <c r="Q190" s="5">
        <f t="shared" si="63"/>
        <v>141772.43392382574</v>
      </c>
      <c r="R190" s="30">
        <f t="shared" si="64"/>
        <v>141772.43392382574</v>
      </c>
      <c r="S190" s="1">
        <v>11431.45</v>
      </c>
      <c r="T190" s="1">
        <v>11525.66</v>
      </c>
      <c r="U190" s="1">
        <v>3608.96</v>
      </c>
      <c r="V190" s="1">
        <v>3570.06</v>
      </c>
      <c r="W190" s="1">
        <v>3570.06</v>
      </c>
      <c r="X190" s="1">
        <v>4123.73</v>
      </c>
      <c r="Y190" s="1">
        <v>5039.54</v>
      </c>
      <c r="Z190" s="1">
        <v>3809.74</v>
      </c>
      <c r="AA190" s="1">
        <v>7294.13</v>
      </c>
      <c r="AB190" s="1">
        <v>10561.31</v>
      </c>
      <c r="AC190" s="165">
        <f t="shared" si="50"/>
        <v>64534.63999999999</v>
      </c>
      <c r="AD190" s="1">
        <v>0</v>
      </c>
      <c r="AE190" s="1">
        <v>4940.1</v>
      </c>
      <c r="AF190" s="1"/>
      <c r="AG190" s="1">
        <v>4959.9</v>
      </c>
      <c r="AH190" s="1">
        <v>0</v>
      </c>
      <c r="AI190" s="1">
        <v>5071.91</v>
      </c>
      <c r="AJ190" s="6">
        <f t="shared" si="46"/>
        <v>79506.54999999999</v>
      </c>
      <c r="AK190" s="1"/>
      <c r="AL190" s="1"/>
      <c r="AM190" s="1"/>
      <c r="AN190" s="1"/>
      <c r="AO190" s="6">
        <f t="shared" si="47"/>
        <v>79506.54999999999</v>
      </c>
      <c r="AP190" s="91">
        <f t="shared" si="52"/>
        <v>62265.88392382575</v>
      </c>
      <c r="AQ190" s="10"/>
      <c r="AR190" s="10">
        <v>1119.3</v>
      </c>
      <c r="AS190" s="34"/>
      <c r="AT190" s="116">
        <f t="shared" si="44"/>
        <v>63385.18392382575</v>
      </c>
      <c r="AU190" s="116"/>
      <c r="AV190" s="116"/>
      <c r="AW190" s="116">
        <v>2000</v>
      </c>
      <c r="AX190" s="116">
        <f>AT190+AU190-AV190-AW190</f>
        <v>61385.18392382575</v>
      </c>
      <c r="AY190" s="116">
        <v>17753.32</v>
      </c>
      <c r="AZ190" s="172">
        <f t="shared" si="49"/>
        <v>43631.86392382575</v>
      </c>
      <c r="BA190" s="130">
        <v>30919.07</v>
      </c>
    </row>
    <row r="191" spans="1:53" ht="12.75">
      <c r="A191" s="1">
        <v>179</v>
      </c>
      <c r="B191" s="1" t="s">
        <v>196</v>
      </c>
      <c r="C191" s="1">
        <v>1295.2</v>
      </c>
      <c r="D191" s="1">
        <v>0</v>
      </c>
      <c r="E191" s="7">
        <f t="shared" si="65"/>
        <v>1295.2</v>
      </c>
      <c r="F191" s="5">
        <v>2.9</v>
      </c>
      <c r="G191" s="5">
        <v>7.26</v>
      </c>
      <c r="H191" s="5">
        <f t="shared" si="56"/>
        <v>10.16</v>
      </c>
      <c r="I191" s="28">
        <f t="shared" si="57"/>
        <v>78955.39199999999</v>
      </c>
      <c r="J191" s="5">
        <f t="shared" si="58"/>
        <v>3.101611830899999</v>
      </c>
      <c r="K191" s="5">
        <f t="shared" si="59"/>
        <v>7.764724790459999</v>
      </c>
      <c r="L191" s="27">
        <f t="shared" si="60"/>
        <v>10.866336621359999</v>
      </c>
      <c r="M191" s="61">
        <f t="shared" si="61"/>
        <v>84444.47515191283</v>
      </c>
      <c r="N191" s="34">
        <f t="shared" si="62"/>
        <v>163399.86715191283</v>
      </c>
      <c r="O191" s="34"/>
      <c r="P191" s="34"/>
      <c r="Q191" s="5">
        <f t="shared" si="63"/>
        <v>163399.86715191283</v>
      </c>
      <c r="R191" s="30">
        <f t="shared" si="64"/>
        <v>163399.86715191283</v>
      </c>
      <c r="S191" s="1">
        <v>6148.91</v>
      </c>
      <c r="T191" s="1">
        <v>6362.49</v>
      </c>
      <c r="U191" s="1">
        <v>6029.89</v>
      </c>
      <c r="V191" s="1">
        <v>5569.43</v>
      </c>
      <c r="W191" s="1">
        <v>89268.09</v>
      </c>
      <c r="X191" s="1">
        <v>45107.57</v>
      </c>
      <c r="Y191" s="1">
        <v>7175.1</v>
      </c>
      <c r="Z191" s="1">
        <v>5945.3</v>
      </c>
      <c r="AA191" s="1">
        <v>21851.62</v>
      </c>
      <c r="AB191" s="1">
        <v>2410.29</v>
      </c>
      <c r="AC191" s="165">
        <f t="shared" si="50"/>
        <v>195868.69</v>
      </c>
      <c r="AD191" s="1">
        <v>0</v>
      </c>
      <c r="AE191" s="1">
        <v>3949.51</v>
      </c>
      <c r="AF191" s="1"/>
      <c r="AG191" s="1">
        <v>6967.33</v>
      </c>
      <c r="AH191" s="1">
        <v>0</v>
      </c>
      <c r="AI191" s="1">
        <v>5945.3</v>
      </c>
      <c r="AJ191" s="6">
        <f t="shared" si="46"/>
        <v>212730.83</v>
      </c>
      <c r="AK191" s="1">
        <f>290</f>
        <v>290</v>
      </c>
      <c r="AL191" s="1"/>
      <c r="AM191" s="1"/>
      <c r="AN191" s="1"/>
      <c r="AO191" s="6">
        <f t="shared" si="47"/>
        <v>213020.83</v>
      </c>
      <c r="AP191" s="136">
        <f t="shared" si="52"/>
        <v>-49620.96284808716</v>
      </c>
      <c r="AQ191" s="110">
        <v>25939.53</v>
      </c>
      <c r="AR191" s="110">
        <v>2108.12</v>
      </c>
      <c r="AS191" s="111"/>
      <c r="AT191" s="111">
        <f t="shared" si="44"/>
        <v>-21573.312848087164</v>
      </c>
      <c r="AU191" s="121"/>
      <c r="AV191" s="111"/>
      <c r="AW191" s="111"/>
      <c r="AX191" s="111"/>
      <c r="AY191" s="116"/>
      <c r="AZ191" s="172">
        <f t="shared" si="49"/>
        <v>0</v>
      </c>
      <c r="BA191" s="130">
        <v>52554.23</v>
      </c>
    </row>
    <row r="192" spans="1:53" ht="15" customHeight="1">
      <c r="A192" s="1">
        <v>180</v>
      </c>
      <c r="B192" s="1" t="s">
        <v>197</v>
      </c>
      <c r="C192" s="1">
        <v>1277.6</v>
      </c>
      <c r="D192" s="1">
        <v>482.9</v>
      </c>
      <c r="E192" s="7">
        <f t="shared" si="65"/>
        <v>1760.5</v>
      </c>
      <c r="F192" s="5">
        <v>2.9</v>
      </c>
      <c r="G192" s="5">
        <v>4.77</v>
      </c>
      <c r="H192" s="5">
        <f t="shared" si="56"/>
        <v>7.67</v>
      </c>
      <c r="I192" s="28">
        <f t="shared" si="57"/>
        <v>81018.20999999999</v>
      </c>
      <c r="J192" s="5">
        <f t="shared" si="58"/>
        <v>3.101611830899999</v>
      </c>
      <c r="K192" s="5">
        <f t="shared" si="59"/>
        <v>5.101616701169998</v>
      </c>
      <c r="L192" s="27">
        <f t="shared" si="60"/>
        <v>8.203228532069998</v>
      </c>
      <c r="M192" s="61">
        <f t="shared" si="61"/>
        <v>86650.70298425539</v>
      </c>
      <c r="N192" s="34">
        <f t="shared" si="62"/>
        <v>167668.91298425538</v>
      </c>
      <c r="O192" s="34">
        <v>65403.12</v>
      </c>
      <c r="P192" s="34">
        <v>32191.03</v>
      </c>
      <c r="Q192" s="5">
        <f t="shared" si="63"/>
        <v>102265.79298425539</v>
      </c>
      <c r="R192" s="30">
        <f t="shared" si="64"/>
        <v>134456.82298425538</v>
      </c>
      <c r="S192" s="1">
        <v>3748.69</v>
      </c>
      <c r="T192" s="1">
        <v>7229.05</v>
      </c>
      <c r="U192" s="1">
        <v>3410.16</v>
      </c>
      <c r="V192" s="1">
        <v>3764.67</v>
      </c>
      <c r="W192" s="1">
        <v>3836.95</v>
      </c>
      <c r="X192" s="1">
        <v>3936.18</v>
      </c>
      <c r="Y192" s="1">
        <v>4362.44</v>
      </c>
      <c r="Z192" s="1">
        <v>5648.38</v>
      </c>
      <c r="AA192" s="1">
        <v>12591.73</v>
      </c>
      <c r="AB192" s="1">
        <v>2067.99</v>
      </c>
      <c r="AC192" s="165">
        <f t="shared" si="50"/>
        <v>50596.24</v>
      </c>
      <c r="AD192" s="1">
        <v>0</v>
      </c>
      <c r="AE192" s="1">
        <v>5156.95</v>
      </c>
      <c r="AF192" s="1"/>
      <c r="AG192" s="1">
        <v>15332.1</v>
      </c>
      <c r="AH192" s="1">
        <v>0</v>
      </c>
      <c r="AI192" s="1">
        <v>7466.93</v>
      </c>
      <c r="AJ192" s="6">
        <f t="shared" si="46"/>
        <v>78552.22</v>
      </c>
      <c r="AK192" s="1"/>
      <c r="AL192" s="1"/>
      <c r="AM192" s="1"/>
      <c r="AN192" s="1"/>
      <c r="AO192" s="6">
        <f t="shared" si="47"/>
        <v>78552.22</v>
      </c>
      <c r="AP192" s="91">
        <f t="shared" si="52"/>
        <v>55904.60298425538</v>
      </c>
      <c r="AQ192" s="10"/>
      <c r="AR192" s="10"/>
      <c r="AS192" s="34"/>
      <c r="AT192" s="116">
        <f t="shared" si="44"/>
        <v>55904.60298425538</v>
      </c>
      <c r="AU192" s="116"/>
      <c r="AV192" s="116"/>
      <c r="AW192" s="116">
        <v>695</v>
      </c>
      <c r="AX192" s="116">
        <f>AT192+AU192-AV192-AW192</f>
        <v>55209.60298425538</v>
      </c>
      <c r="AY192" s="116">
        <v>15967.27</v>
      </c>
      <c r="AZ192" s="172">
        <f t="shared" si="49"/>
        <v>39242.33298425538</v>
      </c>
      <c r="BA192" s="130">
        <v>33738.5</v>
      </c>
    </row>
    <row r="193" spans="1:53" ht="12.75">
      <c r="A193" s="1">
        <v>181</v>
      </c>
      <c r="B193" s="1" t="s">
        <v>198</v>
      </c>
      <c r="C193" s="1">
        <v>1134.3</v>
      </c>
      <c r="D193" s="1">
        <v>158</v>
      </c>
      <c r="E193" s="7">
        <f t="shared" si="65"/>
        <v>1292.3</v>
      </c>
      <c r="F193" s="5">
        <v>2.9</v>
      </c>
      <c r="G193" s="5">
        <v>6.98</v>
      </c>
      <c r="H193" s="5">
        <f t="shared" si="56"/>
        <v>9.88</v>
      </c>
      <c r="I193" s="28">
        <f t="shared" si="57"/>
        <v>76607.54400000001</v>
      </c>
      <c r="J193" s="5">
        <f t="shared" si="58"/>
        <v>3.101611830899999</v>
      </c>
      <c r="K193" s="5">
        <f t="shared" si="59"/>
        <v>7.465258820579999</v>
      </c>
      <c r="L193" s="27">
        <f t="shared" si="60"/>
        <v>10.566870651479999</v>
      </c>
      <c r="M193" s="61">
        <f t="shared" si="61"/>
        <v>81933.40165744562</v>
      </c>
      <c r="N193" s="34">
        <f t="shared" si="62"/>
        <v>158540.94565744564</v>
      </c>
      <c r="O193" s="34"/>
      <c r="P193" s="34"/>
      <c r="Q193" s="5">
        <f t="shared" si="63"/>
        <v>158540.94565744564</v>
      </c>
      <c r="R193" s="30">
        <f t="shared" si="64"/>
        <v>158540.94565744564</v>
      </c>
      <c r="S193" s="1">
        <v>6408.96</v>
      </c>
      <c r="T193" s="1">
        <v>6599.93</v>
      </c>
      <c r="U193" s="1">
        <v>16624.38</v>
      </c>
      <c r="V193" s="1">
        <v>6113.21</v>
      </c>
      <c r="W193" s="1">
        <v>7179.94</v>
      </c>
      <c r="X193" s="1">
        <v>11306.77</v>
      </c>
      <c r="Y193" s="1">
        <v>11815.79</v>
      </c>
      <c r="Z193" s="1">
        <v>8791.09</v>
      </c>
      <c r="AA193" s="1">
        <v>20744.49</v>
      </c>
      <c r="AB193" s="1">
        <v>2885.79</v>
      </c>
      <c r="AC193" s="165">
        <f t="shared" si="50"/>
        <v>98470.35</v>
      </c>
      <c r="AD193" s="1">
        <v>0</v>
      </c>
      <c r="AE193" s="1">
        <v>8437.78</v>
      </c>
      <c r="AF193" s="1"/>
      <c r="AG193" s="1">
        <v>11629.82</v>
      </c>
      <c r="AH193" s="1">
        <v>0</v>
      </c>
      <c r="AI193" s="1">
        <v>29610.98</v>
      </c>
      <c r="AJ193" s="6">
        <f t="shared" si="46"/>
        <v>148148.93000000002</v>
      </c>
      <c r="AK193" s="1"/>
      <c r="AL193" s="1"/>
      <c r="AM193" s="1"/>
      <c r="AN193" s="1">
        <v>350</v>
      </c>
      <c r="AO193" s="6">
        <f t="shared" si="47"/>
        <v>148498.93000000002</v>
      </c>
      <c r="AP193" s="91">
        <f t="shared" si="52"/>
        <v>10042.01565744562</v>
      </c>
      <c r="AQ193" s="10">
        <v>10940.24</v>
      </c>
      <c r="AR193" s="10">
        <v>5602</v>
      </c>
      <c r="AS193" s="34"/>
      <c r="AT193" s="116">
        <f t="shared" si="44"/>
        <v>26584.255657445618</v>
      </c>
      <c r="AU193" s="116"/>
      <c r="AV193" s="116"/>
      <c r="AW193" s="116">
        <v>3463</v>
      </c>
      <c r="AX193" s="146">
        <f>AT193+AU193-AV193-AW193</f>
        <v>23121.255657445618</v>
      </c>
      <c r="AY193" s="116">
        <v>6686.94</v>
      </c>
      <c r="AZ193" s="172">
        <f t="shared" si="49"/>
        <v>16434.31565744562</v>
      </c>
      <c r="BA193" s="130">
        <v>60995.59</v>
      </c>
    </row>
    <row r="194" spans="1:53" ht="12.75">
      <c r="A194" s="1">
        <v>182</v>
      </c>
      <c r="B194" s="1" t="s">
        <v>199</v>
      </c>
      <c r="C194" s="1">
        <v>1239.1</v>
      </c>
      <c r="D194" s="1">
        <v>142.5</v>
      </c>
      <c r="E194" s="7">
        <f t="shared" si="65"/>
        <v>1381.6</v>
      </c>
      <c r="F194" s="5">
        <v>2.9</v>
      </c>
      <c r="G194" s="5">
        <v>6.98</v>
      </c>
      <c r="H194" s="5">
        <f t="shared" si="56"/>
        <v>9.88</v>
      </c>
      <c r="I194" s="28">
        <f t="shared" si="57"/>
        <v>81901.248</v>
      </c>
      <c r="J194" s="5">
        <f t="shared" si="58"/>
        <v>3.101611830899999</v>
      </c>
      <c r="K194" s="5">
        <f t="shared" si="59"/>
        <v>7.465258820579999</v>
      </c>
      <c r="L194" s="27">
        <f t="shared" si="60"/>
        <v>10.566870651479999</v>
      </c>
      <c r="M194" s="61">
        <f t="shared" si="61"/>
        <v>87595.13095250858</v>
      </c>
      <c r="N194" s="34">
        <f t="shared" si="62"/>
        <v>169496.3789525086</v>
      </c>
      <c r="O194" s="34"/>
      <c r="P194" s="34"/>
      <c r="Q194" s="5">
        <f t="shared" si="63"/>
        <v>169496.3789525086</v>
      </c>
      <c r="R194" s="30">
        <f t="shared" si="64"/>
        <v>169496.3789525086</v>
      </c>
      <c r="S194" s="1">
        <v>12471.34</v>
      </c>
      <c r="T194" s="1">
        <v>15717.88</v>
      </c>
      <c r="U194" s="1">
        <v>10868.8</v>
      </c>
      <c r="V194" s="1">
        <v>28051.69</v>
      </c>
      <c r="W194" s="1">
        <v>10864.01</v>
      </c>
      <c r="X194" s="1">
        <v>8660.41</v>
      </c>
      <c r="Y194" s="1">
        <v>7061.43</v>
      </c>
      <c r="Z194" s="1">
        <v>6309.75</v>
      </c>
      <c r="AA194" s="1">
        <v>7882.51</v>
      </c>
      <c r="AB194" s="1">
        <v>6633.79</v>
      </c>
      <c r="AC194" s="165">
        <f t="shared" si="50"/>
        <v>114521.60999999999</v>
      </c>
      <c r="AD194" s="1">
        <v>0</v>
      </c>
      <c r="AE194" s="1">
        <v>8346.26</v>
      </c>
      <c r="AF194" s="1"/>
      <c r="AG194" s="1">
        <v>9185.67</v>
      </c>
      <c r="AH194" s="1">
        <v>0</v>
      </c>
      <c r="AI194" s="1">
        <v>11472.54</v>
      </c>
      <c r="AJ194" s="6">
        <f t="shared" si="46"/>
        <v>143526.08</v>
      </c>
      <c r="AK194" s="1"/>
      <c r="AL194" s="1"/>
      <c r="AM194" s="1"/>
      <c r="AN194" s="1"/>
      <c r="AO194" s="6">
        <f t="shared" si="47"/>
        <v>143526.08</v>
      </c>
      <c r="AP194" s="91">
        <f t="shared" si="52"/>
        <v>25970.2989525086</v>
      </c>
      <c r="AQ194" s="10">
        <v>42240.54</v>
      </c>
      <c r="AR194" s="10">
        <v>-25732.41</v>
      </c>
      <c r="AS194" s="34"/>
      <c r="AT194" s="116">
        <f t="shared" si="44"/>
        <v>42478.428952508606</v>
      </c>
      <c r="AU194" s="116"/>
      <c r="AV194" s="116"/>
      <c r="AW194" s="116"/>
      <c r="AX194" s="116">
        <f>AT194+AU194-AV194-AW194</f>
        <v>42478.428952508606</v>
      </c>
      <c r="AY194" s="116">
        <v>12285.26</v>
      </c>
      <c r="AZ194" s="172">
        <f t="shared" si="49"/>
        <v>30193.168952508604</v>
      </c>
      <c r="BA194" s="130">
        <v>55955.98</v>
      </c>
    </row>
    <row r="195" spans="1:53" ht="12.75">
      <c r="A195" s="1">
        <v>183</v>
      </c>
      <c r="B195" s="84" t="s">
        <v>200</v>
      </c>
      <c r="C195" s="1">
        <v>1950.5</v>
      </c>
      <c r="D195" s="1">
        <v>606.1</v>
      </c>
      <c r="E195" s="7">
        <f t="shared" si="65"/>
        <v>2556.6</v>
      </c>
      <c r="F195" s="5">
        <v>2.9</v>
      </c>
      <c r="G195" s="5">
        <v>7.35</v>
      </c>
      <c r="H195" s="5">
        <f t="shared" si="56"/>
        <v>10.25</v>
      </c>
      <c r="I195" s="28">
        <f t="shared" si="57"/>
        <v>157230.9</v>
      </c>
      <c r="J195" s="5">
        <f t="shared" si="58"/>
        <v>3.101611830899999</v>
      </c>
      <c r="K195" s="5">
        <f t="shared" si="59"/>
        <v>7.860981709349999</v>
      </c>
      <c r="L195" s="27">
        <f t="shared" si="60"/>
        <v>10.962593540249998</v>
      </c>
      <c r="M195" s="61">
        <f t="shared" si="61"/>
        <v>168161.79987001885</v>
      </c>
      <c r="N195" s="34">
        <f t="shared" si="62"/>
        <v>325392.69987001887</v>
      </c>
      <c r="O195" s="34"/>
      <c r="P195" s="34"/>
      <c r="Q195" s="5">
        <f t="shared" si="63"/>
        <v>325392.69987001887</v>
      </c>
      <c r="R195" s="30">
        <f t="shared" si="64"/>
        <v>325392.69987001887</v>
      </c>
      <c r="S195" s="1">
        <v>20315.18</v>
      </c>
      <c r="T195" s="1">
        <v>12254.31</v>
      </c>
      <c r="U195" s="1">
        <v>13763.4</v>
      </c>
      <c r="V195" s="1">
        <v>10607.19</v>
      </c>
      <c r="W195" s="1">
        <v>13309.34</v>
      </c>
      <c r="X195" s="1">
        <v>19496.1</v>
      </c>
      <c r="Y195" s="1">
        <v>11846.4</v>
      </c>
      <c r="Z195" s="1">
        <v>14157.27</v>
      </c>
      <c r="AA195" s="1">
        <v>12009.87</v>
      </c>
      <c r="AB195" s="1">
        <v>4496.33</v>
      </c>
      <c r="AC195" s="165">
        <f t="shared" si="50"/>
        <v>132255.38999999998</v>
      </c>
      <c r="AD195" s="1">
        <v>5994.29</v>
      </c>
      <c r="AE195" s="1">
        <v>5541.43</v>
      </c>
      <c r="AF195" s="1">
        <v>252036.15</v>
      </c>
      <c r="AG195" s="1">
        <v>7905.02</v>
      </c>
      <c r="AH195" s="1">
        <v>6723.17</v>
      </c>
      <c r="AI195" s="1">
        <v>5116.64</v>
      </c>
      <c r="AJ195" s="6">
        <f t="shared" si="46"/>
        <v>415572.09</v>
      </c>
      <c r="AK195" s="1"/>
      <c r="AL195" s="1"/>
      <c r="AM195" s="1"/>
      <c r="AN195" s="95">
        <v>14371.47</v>
      </c>
      <c r="AO195" s="6">
        <f t="shared" si="47"/>
        <v>429943.56</v>
      </c>
      <c r="AP195" s="136">
        <f t="shared" si="52"/>
        <v>-104550.86012998113</v>
      </c>
      <c r="AQ195" s="110"/>
      <c r="AR195" s="110"/>
      <c r="AS195" s="111"/>
      <c r="AT195" s="111">
        <f t="shared" si="44"/>
        <v>-104550.86012998113</v>
      </c>
      <c r="AU195" s="121">
        <v>2231</v>
      </c>
      <c r="AV195" s="111"/>
      <c r="AW195" s="111"/>
      <c r="AX195" s="111">
        <f>AU195-AV195</f>
        <v>2231</v>
      </c>
      <c r="AY195" s="116">
        <v>645.23</v>
      </c>
      <c r="AZ195" s="172">
        <f t="shared" si="49"/>
        <v>1585.77</v>
      </c>
      <c r="BA195" s="130">
        <v>95285.72</v>
      </c>
    </row>
    <row r="196" spans="1:53" ht="12.75">
      <c r="A196" s="1">
        <v>184</v>
      </c>
      <c r="B196" s="1" t="s">
        <v>201</v>
      </c>
      <c r="C196" s="1">
        <v>1840.7</v>
      </c>
      <c r="D196" s="1">
        <v>82.7</v>
      </c>
      <c r="E196" s="7">
        <f t="shared" si="65"/>
        <v>1923.4</v>
      </c>
      <c r="F196" s="5">
        <v>2.9</v>
      </c>
      <c r="G196" s="5">
        <v>7.26</v>
      </c>
      <c r="H196" s="5">
        <f t="shared" si="56"/>
        <v>10.16</v>
      </c>
      <c r="I196" s="28">
        <f t="shared" si="57"/>
        <v>117250.464</v>
      </c>
      <c r="J196" s="5">
        <f t="shared" si="58"/>
        <v>3.101611830899999</v>
      </c>
      <c r="K196" s="5">
        <f t="shared" si="59"/>
        <v>7.764724790459999</v>
      </c>
      <c r="L196" s="27">
        <f t="shared" si="60"/>
        <v>10.866336621359999</v>
      </c>
      <c r="M196" s="61">
        <f t="shared" si="61"/>
        <v>125401.87114514294</v>
      </c>
      <c r="N196" s="34">
        <f t="shared" si="62"/>
        <v>242652.33514514295</v>
      </c>
      <c r="O196" s="34"/>
      <c r="P196" s="34"/>
      <c r="Q196" s="5">
        <f t="shared" si="63"/>
        <v>242652.33514514295</v>
      </c>
      <c r="R196" s="30">
        <f t="shared" si="64"/>
        <v>242652.33514514295</v>
      </c>
      <c r="S196" s="1">
        <v>9856.1</v>
      </c>
      <c r="T196" s="1">
        <v>11913.01</v>
      </c>
      <c r="U196" s="1">
        <v>19198.73</v>
      </c>
      <c r="V196" s="1">
        <v>8521.58</v>
      </c>
      <c r="W196" s="1">
        <v>8691.14</v>
      </c>
      <c r="X196" s="1">
        <v>15073.77</v>
      </c>
      <c r="Y196" s="1">
        <v>10048.32</v>
      </c>
      <c r="Z196" s="1">
        <v>9996.79</v>
      </c>
      <c r="AA196" s="1">
        <v>9549.44</v>
      </c>
      <c r="AB196" s="1">
        <v>6213.03</v>
      </c>
      <c r="AC196" s="165">
        <f t="shared" si="50"/>
        <v>109061.91</v>
      </c>
      <c r="AD196" s="1">
        <v>0</v>
      </c>
      <c r="AE196" s="1">
        <v>6210.93</v>
      </c>
      <c r="AF196" s="1"/>
      <c r="AG196" s="1">
        <v>16854.98</v>
      </c>
      <c r="AH196" s="1">
        <v>0</v>
      </c>
      <c r="AI196" s="1">
        <v>14392.44</v>
      </c>
      <c r="AJ196" s="6">
        <f t="shared" si="46"/>
        <v>146520.26</v>
      </c>
      <c r="AK196" s="1"/>
      <c r="AL196" s="1"/>
      <c r="AM196" s="1"/>
      <c r="AN196" s="1"/>
      <c r="AO196" s="6">
        <f t="shared" si="47"/>
        <v>146520.26</v>
      </c>
      <c r="AP196" s="91">
        <f t="shared" si="52"/>
        <v>96132.07514514294</v>
      </c>
      <c r="AQ196" s="10"/>
      <c r="AR196" s="10">
        <v>64089.97</v>
      </c>
      <c r="AS196" s="34"/>
      <c r="AT196" s="116">
        <f t="shared" si="44"/>
        <v>160222.04514514294</v>
      </c>
      <c r="AU196" s="116"/>
      <c r="AV196" s="144">
        <v>30784.31</v>
      </c>
      <c r="AW196" s="116"/>
      <c r="AX196" s="116">
        <f>AT196+AU196-AV196-AW196</f>
        <v>129437.73514514294</v>
      </c>
      <c r="AY196" s="116">
        <v>37434.92</v>
      </c>
      <c r="AZ196" s="172">
        <f t="shared" si="49"/>
        <v>92002.81514514294</v>
      </c>
      <c r="BA196" s="130">
        <v>75765.74</v>
      </c>
    </row>
    <row r="197" spans="1:53" ht="12.75">
      <c r="A197" s="1">
        <v>185</v>
      </c>
      <c r="B197" s="1" t="s">
        <v>202</v>
      </c>
      <c r="C197" s="1">
        <v>1370.3</v>
      </c>
      <c r="D197" s="1">
        <v>487.8</v>
      </c>
      <c r="E197" s="7">
        <f t="shared" si="65"/>
        <v>1858.1</v>
      </c>
      <c r="F197" s="5">
        <v>2.9</v>
      </c>
      <c r="G197" s="5">
        <v>6.98</v>
      </c>
      <c r="H197" s="5">
        <f t="shared" si="56"/>
        <v>9.88</v>
      </c>
      <c r="I197" s="28">
        <f t="shared" si="57"/>
        <v>110148.168</v>
      </c>
      <c r="J197" s="5">
        <f t="shared" si="58"/>
        <v>3.101611830899999</v>
      </c>
      <c r="K197" s="5">
        <f t="shared" si="59"/>
        <v>7.465258820579999</v>
      </c>
      <c r="L197" s="27">
        <f t="shared" si="60"/>
        <v>10.566870651479999</v>
      </c>
      <c r="M197" s="61">
        <f t="shared" si="61"/>
        <v>117805.81414508991</v>
      </c>
      <c r="N197" s="34">
        <f t="shared" si="62"/>
        <v>227953.98214508992</v>
      </c>
      <c r="O197" s="34">
        <v>71310.81</v>
      </c>
      <c r="P197" s="34"/>
      <c r="Q197" s="5">
        <f t="shared" si="63"/>
        <v>156643.17214508992</v>
      </c>
      <c r="R197" s="30">
        <f t="shared" si="64"/>
        <v>156643.17214508992</v>
      </c>
      <c r="S197" s="1">
        <v>22670.43</v>
      </c>
      <c r="T197" s="1">
        <v>21028.67</v>
      </c>
      <c r="U197" s="1">
        <v>8163.24</v>
      </c>
      <c r="V197" s="1">
        <v>8485.1</v>
      </c>
      <c r="W197" s="1">
        <v>9531.67</v>
      </c>
      <c r="X197" s="1">
        <v>12027.61</v>
      </c>
      <c r="Y197" s="1">
        <v>12195.22</v>
      </c>
      <c r="Z197" s="1">
        <v>15538.43</v>
      </c>
      <c r="AA197" s="1">
        <v>9011.25</v>
      </c>
      <c r="AB197" s="1">
        <v>3272.27</v>
      </c>
      <c r="AC197" s="165">
        <f t="shared" si="50"/>
        <v>121923.89</v>
      </c>
      <c r="AD197" s="1">
        <v>0</v>
      </c>
      <c r="AE197" s="1">
        <v>7448.64</v>
      </c>
      <c r="AF197" s="1"/>
      <c r="AG197" s="1">
        <v>11689.72</v>
      </c>
      <c r="AH197" s="1">
        <v>0</v>
      </c>
      <c r="AI197" s="1">
        <v>16174.16</v>
      </c>
      <c r="AJ197" s="6">
        <f t="shared" si="46"/>
        <v>157236.41</v>
      </c>
      <c r="AK197" s="1"/>
      <c r="AL197" s="1"/>
      <c r="AM197" s="1"/>
      <c r="AN197" s="1"/>
      <c r="AO197" s="6">
        <f t="shared" si="47"/>
        <v>157236.41</v>
      </c>
      <c r="AP197" s="136">
        <f t="shared" si="52"/>
        <v>-593.2378549100831</v>
      </c>
      <c r="AQ197" s="110"/>
      <c r="AR197" s="110"/>
      <c r="AS197" s="111"/>
      <c r="AT197" s="111">
        <f t="shared" si="44"/>
        <v>-593.2378549100831</v>
      </c>
      <c r="AU197" s="133"/>
      <c r="AV197" s="111"/>
      <c r="AW197" s="111"/>
      <c r="AX197" s="111"/>
      <c r="AY197" s="134"/>
      <c r="AZ197" s="172">
        <f t="shared" si="49"/>
        <v>0</v>
      </c>
      <c r="BA197" s="127">
        <v>34531.03</v>
      </c>
    </row>
    <row r="198" spans="1:53" ht="12.75">
      <c r="A198" s="1">
        <v>186</v>
      </c>
      <c r="B198" s="1" t="s">
        <v>203</v>
      </c>
      <c r="C198" s="1">
        <v>2078.3</v>
      </c>
      <c r="D198" s="1">
        <v>460.1</v>
      </c>
      <c r="E198" s="7">
        <f t="shared" si="65"/>
        <v>2538.4</v>
      </c>
      <c r="F198" s="5">
        <v>2.9</v>
      </c>
      <c r="G198" s="5">
        <v>7.26</v>
      </c>
      <c r="H198" s="5">
        <f t="shared" si="56"/>
        <v>10.16</v>
      </c>
      <c r="I198" s="28">
        <f t="shared" si="57"/>
        <v>154740.864</v>
      </c>
      <c r="J198" s="5">
        <f t="shared" si="58"/>
        <v>3.101611830899999</v>
      </c>
      <c r="K198" s="5">
        <f t="shared" si="59"/>
        <v>7.764724790459999</v>
      </c>
      <c r="L198" s="27">
        <f t="shared" si="60"/>
        <v>10.866336621359999</v>
      </c>
      <c r="M198" s="61">
        <f t="shared" si="61"/>
        <v>165498.6532779613</v>
      </c>
      <c r="N198" s="34">
        <f t="shared" si="62"/>
        <v>320239.5172779613</v>
      </c>
      <c r="O198" s="34"/>
      <c r="P198" s="34"/>
      <c r="Q198" s="5">
        <f t="shared" si="63"/>
        <v>320239.5172779613</v>
      </c>
      <c r="R198" s="30">
        <f t="shared" si="64"/>
        <v>320239.5172779613</v>
      </c>
      <c r="S198" s="1">
        <v>30925.63</v>
      </c>
      <c r="T198" s="1">
        <v>25185.23</v>
      </c>
      <c r="U198" s="1">
        <v>53648.52</v>
      </c>
      <c r="V198" s="1">
        <v>32212.16</v>
      </c>
      <c r="W198" s="1">
        <v>14460.84</v>
      </c>
      <c r="X198" s="1">
        <v>42013.65</v>
      </c>
      <c r="Y198" s="1">
        <v>120930.68</v>
      </c>
      <c r="Z198" s="1">
        <v>33058.99</v>
      </c>
      <c r="AA198" s="1">
        <v>142750.98</v>
      </c>
      <c r="AB198" s="1">
        <v>15201.7</v>
      </c>
      <c r="AC198" s="165">
        <f t="shared" si="50"/>
        <v>510388.37999999995</v>
      </c>
      <c r="AD198" s="1">
        <v>0</v>
      </c>
      <c r="AE198" s="1">
        <v>16226.29</v>
      </c>
      <c r="AF198" s="1"/>
      <c r="AG198" s="1">
        <v>13812.27</v>
      </c>
      <c r="AH198" s="1">
        <v>0</v>
      </c>
      <c r="AI198" s="1">
        <v>23595.3</v>
      </c>
      <c r="AJ198" s="6">
        <f t="shared" si="46"/>
        <v>564022.24</v>
      </c>
      <c r="AK198" s="1"/>
      <c r="AL198" s="1"/>
      <c r="AM198" s="1"/>
      <c r="AN198" s="1"/>
      <c r="AO198" s="6">
        <f t="shared" si="47"/>
        <v>564022.24</v>
      </c>
      <c r="AP198" s="136">
        <f t="shared" si="52"/>
        <v>-243782.72272203868</v>
      </c>
      <c r="AQ198" s="110"/>
      <c r="AR198" s="110">
        <v>-25900.07</v>
      </c>
      <c r="AS198" s="111"/>
      <c r="AT198" s="111">
        <f t="shared" si="44"/>
        <v>-269682.7927220387</v>
      </c>
      <c r="AU198" s="121"/>
      <c r="AV198" s="111"/>
      <c r="AW198" s="111"/>
      <c r="AX198" s="111"/>
      <c r="AY198" s="116"/>
      <c r="AZ198" s="172">
        <f t="shared" si="49"/>
        <v>0</v>
      </c>
      <c r="BA198" s="130">
        <v>137840.17</v>
      </c>
    </row>
    <row r="199" spans="1:53" ht="12.75">
      <c r="A199" s="1">
        <v>187</v>
      </c>
      <c r="B199" s="1" t="s">
        <v>204</v>
      </c>
      <c r="C199" s="1">
        <v>1718.43</v>
      </c>
      <c r="D199" s="1">
        <v>91.2</v>
      </c>
      <c r="E199" s="7">
        <f t="shared" si="65"/>
        <v>1809.63</v>
      </c>
      <c r="F199" s="5">
        <v>2.9</v>
      </c>
      <c r="G199" s="5">
        <v>7.46</v>
      </c>
      <c r="H199" s="5">
        <f t="shared" si="56"/>
        <v>10.36</v>
      </c>
      <c r="I199" s="28">
        <f t="shared" si="57"/>
        <v>112486.60080000001</v>
      </c>
      <c r="J199" s="5">
        <f t="shared" si="58"/>
        <v>3.101611830899999</v>
      </c>
      <c r="K199" s="5">
        <f t="shared" si="59"/>
        <v>7.978629054659999</v>
      </c>
      <c r="L199" s="27">
        <f t="shared" si="60"/>
        <v>11.080240885559999</v>
      </c>
      <c r="M199" s="61">
        <f t="shared" si="61"/>
        <v>120306.81788241563</v>
      </c>
      <c r="N199" s="34">
        <f t="shared" si="62"/>
        <v>232793.41868241565</v>
      </c>
      <c r="O199" s="34"/>
      <c r="P199" s="34"/>
      <c r="Q199" s="5">
        <f t="shared" si="63"/>
        <v>232793.41868241565</v>
      </c>
      <c r="R199" s="30">
        <f t="shared" si="64"/>
        <v>232793.41868241565</v>
      </c>
      <c r="S199" s="1">
        <v>8432.64</v>
      </c>
      <c r="T199" s="1">
        <v>18955.38</v>
      </c>
      <c r="U199" s="1">
        <v>13212.49</v>
      </c>
      <c r="V199" s="1">
        <v>10322.68</v>
      </c>
      <c r="W199" s="1">
        <v>9586.17</v>
      </c>
      <c r="X199" s="1">
        <v>11035.33</v>
      </c>
      <c r="Y199" s="1">
        <v>10116.95</v>
      </c>
      <c r="Z199" s="1">
        <v>11905.28</v>
      </c>
      <c r="AA199" s="1">
        <v>9069.54</v>
      </c>
      <c r="AB199" s="1">
        <v>3294.83</v>
      </c>
      <c r="AC199" s="165">
        <f t="shared" si="50"/>
        <v>105931.29</v>
      </c>
      <c r="AD199" s="1">
        <v>0</v>
      </c>
      <c r="AE199" s="1">
        <v>5599.28</v>
      </c>
      <c r="AF199" s="1"/>
      <c r="AG199" s="1">
        <v>13374.01</v>
      </c>
      <c r="AH199" s="1">
        <v>0</v>
      </c>
      <c r="AI199" s="1">
        <v>10164.08</v>
      </c>
      <c r="AJ199" s="6">
        <f t="shared" si="46"/>
        <v>135068.65999999997</v>
      </c>
      <c r="AK199" s="1"/>
      <c r="AL199" s="1"/>
      <c r="AM199" s="1"/>
      <c r="AN199" s="1"/>
      <c r="AO199" s="6">
        <f t="shared" si="47"/>
        <v>135068.65999999997</v>
      </c>
      <c r="AP199" s="91">
        <f t="shared" si="52"/>
        <v>97724.75868241568</v>
      </c>
      <c r="AQ199" s="10">
        <v>22836</v>
      </c>
      <c r="AR199" s="10">
        <v>5928.33</v>
      </c>
      <c r="AS199" s="34"/>
      <c r="AT199" s="116">
        <f t="shared" si="44"/>
        <v>126489.08868241568</v>
      </c>
      <c r="AU199" s="116"/>
      <c r="AV199" s="116">
        <v>800</v>
      </c>
      <c r="AW199" s="116"/>
      <c r="AX199" s="116">
        <f>AT199+AU199-AV199-AW199</f>
        <v>125689.08868241568</v>
      </c>
      <c r="AY199" s="116">
        <v>36350.77</v>
      </c>
      <c r="AZ199" s="172">
        <f t="shared" si="49"/>
        <v>89338.31868241567</v>
      </c>
      <c r="BA199" s="130">
        <v>152828.41</v>
      </c>
    </row>
    <row r="200" spans="1:53" ht="12.75">
      <c r="A200" s="1">
        <v>188</v>
      </c>
      <c r="B200" s="1" t="s">
        <v>205</v>
      </c>
      <c r="C200" s="1">
        <v>1568.9</v>
      </c>
      <c r="D200" s="1">
        <v>255.4</v>
      </c>
      <c r="E200" s="7">
        <f t="shared" si="65"/>
        <v>1824.3000000000002</v>
      </c>
      <c r="F200" s="5">
        <v>2.9</v>
      </c>
      <c r="G200" s="5">
        <v>7.46</v>
      </c>
      <c r="H200" s="5">
        <f t="shared" si="56"/>
        <v>10.36</v>
      </c>
      <c r="I200" s="28">
        <f t="shared" si="57"/>
        <v>113398.488</v>
      </c>
      <c r="J200" s="5">
        <f t="shared" si="58"/>
        <v>3.101611830899999</v>
      </c>
      <c r="K200" s="5">
        <f t="shared" si="59"/>
        <v>7.978629054659999</v>
      </c>
      <c r="L200" s="27">
        <f t="shared" si="60"/>
        <v>11.080240885559999</v>
      </c>
      <c r="M200" s="61">
        <f t="shared" si="61"/>
        <v>121282.10068516264</v>
      </c>
      <c r="N200" s="34">
        <f t="shared" si="62"/>
        <v>234680.58868516266</v>
      </c>
      <c r="O200" s="34">
        <v>65139.4</v>
      </c>
      <c r="P200" s="34">
        <v>22202.63</v>
      </c>
      <c r="Q200" s="5">
        <f t="shared" si="63"/>
        <v>169541.18868516266</v>
      </c>
      <c r="R200" s="30">
        <f t="shared" si="64"/>
        <v>191743.81868516267</v>
      </c>
      <c r="S200" s="1">
        <v>10393.64</v>
      </c>
      <c r="T200" s="1">
        <v>25292.59</v>
      </c>
      <c r="U200" s="1">
        <v>13826.49</v>
      </c>
      <c r="V200" s="1">
        <v>10142.37</v>
      </c>
      <c r="W200" s="1">
        <v>9647.32</v>
      </c>
      <c r="X200" s="1">
        <v>8719.55</v>
      </c>
      <c r="Y200" s="1">
        <v>10981.25</v>
      </c>
      <c r="Z200" s="1">
        <v>13203.58</v>
      </c>
      <c r="AA200" s="1">
        <v>41121.11</v>
      </c>
      <c r="AB200" s="1">
        <v>6319.32</v>
      </c>
      <c r="AC200" s="165">
        <f t="shared" si="50"/>
        <v>149647.22000000003</v>
      </c>
      <c r="AD200" s="1">
        <v>0</v>
      </c>
      <c r="AE200" s="1">
        <v>9563.51</v>
      </c>
      <c r="AF200" s="1"/>
      <c r="AG200" s="1">
        <v>13853.1</v>
      </c>
      <c r="AH200" s="1">
        <v>0</v>
      </c>
      <c r="AI200" s="1">
        <v>37555.64</v>
      </c>
      <c r="AJ200" s="6">
        <f t="shared" si="46"/>
        <v>210619.47000000003</v>
      </c>
      <c r="AK200" s="1">
        <v>5120</v>
      </c>
      <c r="AL200" s="1"/>
      <c r="AM200" s="1"/>
      <c r="AN200" s="1"/>
      <c r="AO200" s="6">
        <f t="shared" si="47"/>
        <v>215739.47000000003</v>
      </c>
      <c r="AP200" s="136">
        <f t="shared" si="52"/>
        <v>-23995.651314837363</v>
      </c>
      <c r="AQ200" s="110"/>
      <c r="AR200" s="110"/>
      <c r="AS200" s="111"/>
      <c r="AT200" s="111">
        <f t="shared" si="44"/>
        <v>-23995.651314837363</v>
      </c>
      <c r="AU200" s="121"/>
      <c r="AV200" s="111"/>
      <c r="AW200" s="111"/>
      <c r="AX200" s="111"/>
      <c r="AY200" s="116"/>
      <c r="AZ200" s="172">
        <f t="shared" si="49"/>
        <v>0</v>
      </c>
      <c r="BA200" s="130">
        <v>89609.34</v>
      </c>
    </row>
    <row r="201" spans="1:53" ht="12.75">
      <c r="A201" s="1">
        <v>189</v>
      </c>
      <c r="B201" s="1" t="s">
        <v>206</v>
      </c>
      <c r="C201" s="1">
        <v>9197</v>
      </c>
      <c r="D201" s="1">
        <v>671.4</v>
      </c>
      <c r="E201" s="7">
        <f t="shared" si="65"/>
        <v>9868.4</v>
      </c>
      <c r="F201" s="5">
        <v>2.9</v>
      </c>
      <c r="G201" s="5">
        <v>7.65</v>
      </c>
      <c r="H201" s="5">
        <f t="shared" si="56"/>
        <v>10.55</v>
      </c>
      <c r="I201" s="28">
        <f t="shared" si="57"/>
        <v>624669.7200000001</v>
      </c>
      <c r="J201" s="5">
        <f t="shared" si="58"/>
        <v>3.101611830899999</v>
      </c>
      <c r="K201" s="5">
        <f t="shared" si="59"/>
        <v>8.181838105649998</v>
      </c>
      <c r="L201" s="27">
        <f t="shared" si="60"/>
        <v>11.283449936549998</v>
      </c>
      <c r="M201" s="61">
        <f t="shared" si="61"/>
        <v>668097.5841230999</v>
      </c>
      <c r="N201" s="34">
        <f t="shared" si="62"/>
        <v>1292767.3041231</v>
      </c>
      <c r="O201" s="34">
        <v>33914.05</v>
      </c>
      <c r="P201" s="34"/>
      <c r="Q201" s="5">
        <f t="shared" si="63"/>
        <v>1258853.2541230998</v>
      </c>
      <c r="R201" s="30">
        <f t="shared" si="64"/>
        <v>1258853.2541230998</v>
      </c>
      <c r="S201" s="1">
        <v>44626.41</v>
      </c>
      <c r="T201" s="1">
        <v>83787.86</v>
      </c>
      <c r="U201" s="1">
        <v>51098.9</v>
      </c>
      <c r="V201" s="1">
        <v>79562.76</v>
      </c>
      <c r="W201" s="1">
        <v>45626.61</v>
      </c>
      <c r="X201" s="1">
        <v>91672.93</v>
      </c>
      <c r="Y201" s="1">
        <v>69598.13</v>
      </c>
      <c r="Z201" s="1">
        <v>154487.3</v>
      </c>
      <c r="AA201" s="1">
        <v>130472.97</v>
      </c>
      <c r="AB201" s="1">
        <v>34424.42</v>
      </c>
      <c r="AC201" s="165">
        <f t="shared" si="50"/>
        <v>785358.2899999999</v>
      </c>
      <c r="AD201" s="1">
        <v>0</v>
      </c>
      <c r="AE201" s="1">
        <v>29657.79</v>
      </c>
      <c r="AF201" s="1"/>
      <c r="AG201" s="1">
        <v>66653.66</v>
      </c>
      <c r="AH201" s="1">
        <v>0</v>
      </c>
      <c r="AI201" s="1">
        <v>65699.19</v>
      </c>
      <c r="AJ201" s="6">
        <f t="shared" si="46"/>
        <v>947368.9299999999</v>
      </c>
      <c r="AK201" s="1">
        <f>482+170</f>
        <v>652</v>
      </c>
      <c r="AL201" s="1"/>
      <c r="AM201" s="1"/>
      <c r="AN201" s="1">
        <v>199793.01</v>
      </c>
      <c r="AO201" s="6">
        <f t="shared" si="47"/>
        <v>1147813.94</v>
      </c>
      <c r="AP201" s="91">
        <f t="shared" si="52"/>
        <v>111039.3141230999</v>
      </c>
      <c r="AQ201" s="10"/>
      <c r="AR201" s="10"/>
      <c r="AS201" s="34">
        <v>31860</v>
      </c>
      <c r="AT201" s="116">
        <f t="shared" si="44"/>
        <v>142899.3141230999</v>
      </c>
      <c r="AU201" s="116"/>
      <c r="AV201" s="116"/>
      <c r="AW201" s="116"/>
      <c r="AX201" s="116">
        <f aca="true" t="shared" si="66" ref="AX201:AX209">AT201+AU201-AV201-AW201</f>
        <v>142899.3141230999</v>
      </c>
      <c r="AY201" s="116">
        <v>41328.17</v>
      </c>
      <c r="AZ201" s="172">
        <f t="shared" si="49"/>
        <v>101571.1441230999</v>
      </c>
      <c r="BA201" s="130">
        <v>595673.49</v>
      </c>
    </row>
    <row r="202" spans="1:53" ht="12.75">
      <c r="A202" s="1">
        <v>190</v>
      </c>
      <c r="B202" s="84" t="s">
        <v>207</v>
      </c>
      <c r="C202" s="1">
        <v>5419.6</v>
      </c>
      <c r="D202" s="2">
        <v>1711.1</v>
      </c>
      <c r="E202" s="7">
        <f t="shared" si="65"/>
        <v>7130.700000000001</v>
      </c>
      <c r="F202" s="5">
        <v>2.9</v>
      </c>
      <c r="G202" s="5">
        <v>6.98</v>
      </c>
      <c r="H202" s="5">
        <f t="shared" si="56"/>
        <v>9.88</v>
      </c>
      <c r="I202" s="28">
        <f t="shared" si="57"/>
        <v>422707.89600000007</v>
      </c>
      <c r="J202" s="5">
        <f t="shared" si="58"/>
        <v>3.101611830899999</v>
      </c>
      <c r="K202" s="5">
        <f t="shared" si="59"/>
        <v>7.465258820579999</v>
      </c>
      <c r="L202" s="27">
        <f t="shared" si="60"/>
        <v>10.566870651479999</v>
      </c>
      <c r="M202" s="61">
        <f t="shared" si="61"/>
        <v>452095.10732705065</v>
      </c>
      <c r="N202" s="34">
        <f t="shared" si="62"/>
        <v>874803.0033270507</v>
      </c>
      <c r="O202" s="34">
        <v>29663.14</v>
      </c>
      <c r="P202" s="34"/>
      <c r="Q202" s="5">
        <f t="shared" si="63"/>
        <v>845139.8633270507</v>
      </c>
      <c r="R202" s="30">
        <f t="shared" si="64"/>
        <v>845139.8633270507</v>
      </c>
      <c r="S202" s="1">
        <v>52380.81</v>
      </c>
      <c r="T202" s="1">
        <v>38687.53</v>
      </c>
      <c r="U202" s="1">
        <v>33911.97</v>
      </c>
      <c r="V202" s="1">
        <v>41604.04</v>
      </c>
      <c r="W202" s="1">
        <v>76718.53</v>
      </c>
      <c r="X202" s="1">
        <v>76275.98</v>
      </c>
      <c r="Y202" s="1">
        <v>89761.2</v>
      </c>
      <c r="Z202" s="1">
        <v>42376.37</v>
      </c>
      <c r="AA202" s="1">
        <v>57571.06</v>
      </c>
      <c r="AB202" s="1">
        <v>22477.78</v>
      </c>
      <c r="AC202" s="165">
        <f t="shared" si="50"/>
        <v>531765.27</v>
      </c>
      <c r="AD202" s="1">
        <v>15530.77</v>
      </c>
      <c r="AE202" s="1">
        <v>9626.62</v>
      </c>
      <c r="AF202" s="1">
        <v>24125.62</v>
      </c>
      <c r="AG202" s="1">
        <v>22715.98</v>
      </c>
      <c r="AH202" s="1">
        <v>24559.22</v>
      </c>
      <c r="AI202" s="1">
        <v>21964.53</v>
      </c>
      <c r="AJ202" s="6">
        <f t="shared" si="46"/>
        <v>650288.01</v>
      </c>
      <c r="AK202" s="1">
        <v>590</v>
      </c>
      <c r="AL202" s="1"/>
      <c r="AM202" s="1"/>
      <c r="AN202" s="1"/>
      <c r="AO202" s="6">
        <f t="shared" si="47"/>
        <v>650878.01</v>
      </c>
      <c r="AP202" s="91">
        <f t="shared" si="52"/>
        <v>194261.8533270507</v>
      </c>
      <c r="AQ202" s="10"/>
      <c r="AR202" s="10"/>
      <c r="AS202" s="34"/>
      <c r="AT202" s="116">
        <f t="shared" si="44"/>
        <v>194261.8533270507</v>
      </c>
      <c r="AU202" s="116"/>
      <c r="AV202" s="116">
        <v>1883</v>
      </c>
      <c r="AW202" s="116"/>
      <c r="AX202" s="116">
        <f t="shared" si="66"/>
        <v>192378.8533270507</v>
      </c>
      <c r="AY202" s="116">
        <v>56182.82</v>
      </c>
      <c r="AZ202" s="172">
        <f t="shared" si="49"/>
        <v>136196.03332705068</v>
      </c>
      <c r="BA202" s="130">
        <v>299559.41</v>
      </c>
    </row>
    <row r="203" spans="1:53" ht="12.75">
      <c r="A203" s="1">
        <v>191</v>
      </c>
      <c r="B203" s="84" t="s">
        <v>208</v>
      </c>
      <c r="C203" s="1">
        <v>2191</v>
      </c>
      <c r="D203" s="1">
        <v>522.6</v>
      </c>
      <c r="E203" s="7">
        <f t="shared" si="65"/>
        <v>2713.6</v>
      </c>
      <c r="F203" s="5">
        <v>2.9</v>
      </c>
      <c r="G203" s="5">
        <v>7.18</v>
      </c>
      <c r="H203" s="5">
        <f t="shared" si="56"/>
        <v>10.08</v>
      </c>
      <c r="I203" s="28">
        <f t="shared" si="57"/>
        <v>164118.528</v>
      </c>
      <c r="J203" s="5">
        <f t="shared" si="58"/>
        <v>3.101611830899999</v>
      </c>
      <c r="K203" s="5">
        <f t="shared" si="59"/>
        <v>7.679163084779998</v>
      </c>
      <c r="L203" s="27">
        <f t="shared" si="60"/>
        <v>10.780774915679997</v>
      </c>
      <c r="M203" s="61">
        <f t="shared" si="61"/>
        <v>175528.26486713544</v>
      </c>
      <c r="N203" s="34">
        <f t="shared" si="62"/>
        <v>339646.79286713543</v>
      </c>
      <c r="O203" s="34">
        <v>39478.73</v>
      </c>
      <c r="P203" s="34"/>
      <c r="Q203" s="5">
        <f t="shared" si="63"/>
        <v>300168.06286713545</v>
      </c>
      <c r="R203" s="30">
        <f t="shared" si="64"/>
        <v>300168.06286713545</v>
      </c>
      <c r="S203" s="1">
        <v>17010.74</v>
      </c>
      <c r="T203" s="1">
        <v>16582.78</v>
      </c>
      <c r="U203" s="1">
        <v>15045.95</v>
      </c>
      <c r="V203" s="1">
        <v>12004.51</v>
      </c>
      <c r="W203" s="1">
        <v>18923.73</v>
      </c>
      <c r="X203" s="1">
        <v>74087.08</v>
      </c>
      <c r="Y203" s="1">
        <v>22221.96</v>
      </c>
      <c r="Z203" s="1">
        <v>25673.94</v>
      </c>
      <c r="AA203" s="1">
        <v>20413.16</v>
      </c>
      <c r="AB203" s="1">
        <v>6466.38</v>
      </c>
      <c r="AC203" s="165">
        <f t="shared" si="50"/>
        <v>228430.23</v>
      </c>
      <c r="AD203" s="1">
        <v>5571.34</v>
      </c>
      <c r="AE203" s="1">
        <v>3182.27</v>
      </c>
      <c r="AF203" s="1">
        <v>11187.47</v>
      </c>
      <c r="AG203" s="1">
        <v>7795.43</v>
      </c>
      <c r="AH203" s="1">
        <v>9712.06</v>
      </c>
      <c r="AI203" s="1">
        <v>10444.53</v>
      </c>
      <c r="AJ203" s="6">
        <f t="shared" si="46"/>
        <v>276323.33</v>
      </c>
      <c r="AK203" s="1"/>
      <c r="AL203" s="1"/>
      <c r="AM203" s="1"/>
      <c r="AN203" s="1"/>
      <c r="AO203" s="6">
        <f t="shared" si="47"/>
        <v>276323.33</v>
      </c>
      <c r="AP203" s="91">
        <f t="shared" si="52"/>
        <v>23844.732867135433</v>
      </c>
      <c r="AQ203" s="10"/>
      <c r="AR203" s="10"/>
      <c r="AS203" s="34"/>
      <c r="AT203" s="116">
        <f t="shared" si="44"/>
        <v>23844.732867135433</v>
      </c>
      <c r="AU203" s="116"/>
      <c r="AV203" s="161">
        <v>23844.73</v>
      </c>
      <c r="AW203" s="116"/>
      <c r="AX203" s="116">
        <f t="shared" si="66"/>
        <v>0.002867135433916701</v>
      </c>
      <c r="AY203" s="116"/>
      <c r="AZ203" s="172">
        <f t="shared" si="49"/>
        <v>0.002867135433916701</v>
      </c>
      <c r="BA203" s="130">
        <v>771330.24</v>
      </c>
    </row>
    <row r="204" spans="1:54" ht="12.75">
      <c r="A204" s="1">
        <v>192</v>
      </c>
      <c r="B204" s="1" t="s">
        <v>209</v>
      </c>
      <c r="C204" s="1">
        <v>2543.7</v>
      </c>
      <c r="D204" s="1">
        <v>667.6</v>
      </c>
      <c r="E204" s="7">
        <f t="shared" si="65"/>
        <v>3211.2999999999997</v>
      </c>
      <c r="F204" s="5">
        <v>2.9</v>
      </c>
      <c r="G204" s="5">
        <v>7.29</v>
      </c>
      <c r="H204" s="5">
        <f t="shared" si="56"/>
        <v>10.19</v>
      </c>
      <c r="I204" s="28">
        <f t="shared" si="57"/>
        <v>196338.88199999998</v>
      </c>
      <c r="J204" s="5">
        <f t="shared" si="58"/>
        <v>3.101611830899999</v>
      </c>
      <c r="K204" s="5">
        <f t="shared" si="59"/>
        <v>7.796810430089998</v>
      </c>
      <c r="L204" s="27">
        <f t="shared" si="60"/>
        <v>10.898422260989998</v>
      </c>
      <c r="M204" s="61">
        <f t="shared" si="61"/>
        <v>209988.62044030306</v>
      </c>
      <c r="N204" s="34">
        <f t="shared" si="62"/>
        <v>406327.50244030304</v>
      </c>
      <c r="O204" s="34"/>
      <c r="P204" s="34"/>
      <c r="Q204" s="5">
        <f t="shared" si="63"/>
        <v>406327.50244030304</v>
      </c>
      <c r="R204" s="30">
        <f t="shared" si="64"/>
        <v>406327.50244030304</v>
      </c>
      <c r="S204" s="1">
        <v>22531.13</v>
      </c>
      <c r="T204" s="1">
        <v>14619.92</v>
      </c>
      <c r="U204" s="1">
        <v>23313.91</v>
      </c>
      <c r="V204" s="1">
        <v>14780.21</v>
      </c>
      <c r="W204" s="1">
        <v>15832.24</v>
      </c>
      <c r="X204" s="1">
        <v>36755.63</v>
      </c>
      <c r="Y204" s="1">
        <v>15521.4</v>
      </c>
      <c r="Z204" s="1">
        <v>16450.94</v>
      </c>
      <c r="AA204" s="1">
        <v>30725.76</v>
      </c>
      <c r="AB204" s="1">
        <v>6171.3</v>
      </c>
      <c r="AC204" s="165">
        <f t="shared" si="50"/>
        <v>196702.44</v>
      </c>
      <c r="AD204" s="1">
        <v>0</v>
      </c>
      <c r="AE204" s="1">
        <v>11662.01</v>
      </c>
      <c r="AF204" s="1"/>
      <c r="AG204" s="1">
        <v>27967.27</v>
      </c>
      <c r="AH204" s="1">
        <v>0</v>
      </c>
      <c r="AI204" s="1">
        <v>23047.75</v>
      </c>
      <c r="AJ204" s="6">
        <f t="shared" si="46"/>
        <v>259379.47</v>
      </c>
      <c r="AK204" s="1"/>
      <c r="AL204" s="1"/>
      <c r="AM204" s="1"/>
      <c r="AN204" s="1"/>
      <c r="AO204" s="6">
        <f t="shared" si="47"/>
        <v>259379.47</v>
      </c>
      <c r="AP204" s="91">
        <f t="shared" si="52"/>
        <v>146948.03244030304</v>
      </c>
      <c r="AQ204" s="10">
        <v>17312.16</v>
      </c>
      <c r="AR204" s="10">
        <v>90113.92</v>
      </c>
      <c r="AS204" s="34"/>
      <c r="AT204" s="116">
        <f aca="true" t="shared" si="67" ref="AT204:AT267">AP204+AQ204+AR204+AS204</f>
        <v>254374.11244030303</v>
      </c>
      <c r="AU204" s="116"/>
      <c r="AV204" s="161">
        <f>61739.02+50574</f>
        <v>112313.01999999999</v>
      </c>
      <c r="AW204" s="116">
        <v>235</v>
      </c>
      <c r="AX204" s="116">
        <f t="shared" si="66"/>
        <v>141826.09244030304</v>
      </c>
      <c r="AY204" s="116">
        <v>41017.78</v>
      </c>
      <c r="AZ204" s="172">
        <f t="shared" si="49"/>
        <v>100808.31244030304</v>
      </c>
      <c r="BA204" s="130">
        <v>144043.15</v>
      </c>
      <c r="BB204" s="163"/>
    </row>
    <row r="205" spans="1:53" ht="12.75">
      <c r="A205" s="1">
        <v>193</v>
      </c>
      <c r="B205" s="1" t="s">
        <v>210</v>
      </c>
      <c r="C205" s="1">
        <v>1974.02</v>
      </c>
      <c r="D205" s="1">
        <v>119.4</v>
      </c>
      <c r="E205" s="7">
        <f t="shared" si="65"/>
        <v>2093.42</v>
      </c>
      <c r="F205" s="5">
        <v>2.9</v>
      </c>
      <c r="G205" s="5">
        <v>7.26</v>
      </c>
      <c r="H205" s="5">
        <f t="shared" si="56"/>
        <v>10.16</v>
      </c>
      <c r="I205" s="28">
        <f t="shared" si="57"/>
        <v>127614.8832</v>
      </c>
      <c r="J205" s="5">
        <f t="shared" si="58"/>
        <v>3.101611830899999</v>
      </c>
      <c r="K205" s="5">
        <f t="shared" si="59"/>
        <v>7.764724790459999</v>
      </c>
      <c r="L205" s="27">
        <f t="shared" si="60"/>
        <v>10.866336621359999</v>
      </c>
      <c r="M205" s="61">
        <f t="shared" si="61"/>
        <v>136486.8384593247</v>
      </c>
      <c r="N205" s="34">
        <f t="shared" si="62"/>
        <v>264101.7216593247</v>
      </c>
      <c r="O205" s="34">
        <v>23386.25</v>
      </c>
      <c r="P205" s="34"/>
      <c r="Q205" s="5">
        <f t="shared" si="63"/>
        <v>240715.4716593247</v>
      </c>
      <c r="R205" s="30">
        <f t="shared" si="64"/>
        <v>240715.4716593247</v>
      </c>
      <c r="S205" s="1">
        <v>13034.48</v>
      </c>
      <c r="T205" s="1">
        <v>9309.52</v>
      </c>
      <c r="U205" s="1">
        <v>13302.35</v>
      </c>
      <c r="V205" s="1">
        <v>11236.75</v>
      </c>
      <c r="W205" s="1">
        <v>9813.85</v>
      </c>
      <c r="X205" s="1">
        <v>13720.44</v>
      </c>
      <c r="Y205" s="1">
        <v>13257.46</v>
      </c>
      <c r="Z205" s="1">
        <v>11617.92</v>
      </c>
      <c r="AA205" s="1">
        <v>20331.31</v>
      </c>
      <c r="AB205" s="1">
        <v>4138.26</v>
      </c>
      <c r="AC205" s="165">
        <f t="shared" si="50"/>
        <v>119762.34</v>
      </c>
      <c r="AD205" s="1">
        <v>0</v>
      </c>
      <c r="AE205" s="1">
        <v>6559.33</v>
      </c>
      <c r="AF205" s="1"/>
      <c r="AG205" s="1">
        <v>13670.81</v>
      </c>
      <c r="AH205" s="1">
        <v>0</v>
      </c>
      <c r="AI205" s="1">
        <v>19095.39</v>
      </c>
      <c r="AJ205" s="6">
        <f aca="true" t="shared" si="68" ref="AJ205:AJ268">AC205+AD205+AE205+AF205+AG205+AH205+AI205</f>
        <v>159087.87</v>
      </c>
      <c r="AK205" s="1">
        <f>3624+2615</f>
        <v>6239</v>
      </c>
      <c r="AL205" s="1"/>
      <c r="AM205" s="1"/>
      <c r="AN205" s="1">
        <v>34210.46</v>
      </c>
      <c r="AO205" s="6">
        <f t="shared" si="47"/>
        <v>199537.33</v>
      </c>
      <c r="AP205" s="91">
        <f t="shared" si="52"/>
        <v>41178.14165932473</v>
      </c>
      <c r="AQ205" s="10"/>
      <c r="AR205" s="10"/>
      <c r="AS205" s="34"/>
      <c r="AT205" s="116">
        <f t="shared" si="67"/>
        <v>41178.14165932473</v>
      </c>
      <c r="AU205" s="116"/>
      <c r="AV205" s="144">
        <v>34210.46</v>
      </c>
      <c r="AW205" s="116"/>
      <c r="AX205" s="116">
        <f t="shared" si="66"/>
        <v>6967.681659324728</v>
      </c>
      <c r="AY205" s="116">
        <v>2015.14</v>
      </c>
      <c r="AZ205" s="172">
        <f aca="true" t="shared" si="69" ref="AZ205:AZ268">AX205-AY205</f>
        <v>4952.541659324727</v>
      </c>
      <c r="BA205" s="130">
        <v>70572.02</v>
      </c>
    </row>
    <row r="206" spans="1:53" ht="12.75">
      <c r="A206" s="1">
        <v>194</v>
      </c>
      <c r="B206" s="84" t="s">
        <v>211</v>
      </c>
      <c r="C206" s="1">
        <v>2960.1</v>
      </c>
      <c r="D206" s="1">
        <v>456.7</v>
      </c>
      <c r="E206" s="7">
        <f t="shared" si="65"/>
        <v>3416.7999999999997</v>
      </c>
      <c r="F206" s="5">
        <v>2.9</v>
      </c>
      <c r="G206" s="5">
        <v>7.26</v>
      </c>
      <c r="H206" s="5">
        <f aca="true" t="shared" si="70" ref="H206:H263">F206+G206</f>
        <v>10.16</v>
      </c>
      <c r="I206" s="28">
        <f aca="true" t="shared" si="71" ref="I206:I263">E206*H206*6</f>
        <v>208288.12799999997</v>
      </c>
      <c r="J206" s="5">
        <f aca="true" t="shared" si="72" ref="J206:J263">F206*1.067*1.002363</f>
        <v>3.101611830899999</v>
      </c>
      <c r="K206" s="5">
        <f aca="true" t="shared" si="73" ref="K206:K263">G206*1.067*1.002363</f>
        <v>7.764724790459999</v>
      </c>
      <c r="L206" s="27">
        <f aca="true" t="shared" si="74" ref="L206:L263">J206+K206</f>
        <v>10.866336621359999</v>
      </c>
      <c r="M206" s="61">
        <f aca="true" t="shared" si="75" ref="M206:M263">L206*E206*6</f>
        <v>222768.59380717704</v>
      </c>
      <c r="N206" s="34">
        <f aca="true" t="shared" si="76" ref="N206:N266">I206+M206</f>
        <v>431056.721807177</v>
      </c>
      <c r="O206" s="34"/>
      <c r="P206" s="34"/>
      <c r="Q206" s="5">
        <f aca="true" t="shared" si="77" ref="Q206:Q266">N206-O206</f>
        <v>431056.721807177</v>
      </c>
      <c r="R206" s="30">
        <f aca="true" t="shared" si="78" ref="R206:R266">Q206+P206</f>
        <v>431056.721807177</v>
      </c>
      <c r="S206" s="1">
        <v>64032.56</v>
      </c>
      <c r="T206" s="1">
        <v>18090.1</v>
      </c>
      <c r="U206" s="1">
        <v>26145.13</v>
      </c>
      <c r="V206" s="1">
        <v>17713.83</v>
      </c>
      <c r="W206" s="1">
        <v>36689.26</v>
      </c>
      <c r="X206" s="1">
        <v>21932.01</v>
      </c>
      <c r="Y206" s="1">
        <v>16244.89</v>
      </c>
      <c r="Z206" s="1">
        <v>15391.31</v>
      </c>
      <c r="AA206" s="1">
        <v>16821.36</v>
      </c>
      <c r="AB206" s="1">
        <v>7095.4</v>
      </c>
      <c r="AC206" s="165">
        <f aca="true" t="shared" si="79" ref="AC206:AC269">S206+T206++U206+V206+W206+X206+Y206+Z206+AA206+AB206</f>
        <v>240155.85</v>
      </c>
      <c r="AD206" s="1">
        <v>6696.86</v>
      </c>
      <c r="AE206" s="1">
        <v>4704.61</v>
      </c>
      <c r="AF206" s="1">
        <v>8478.62</v>
      </c>
      <c r="AG206" s="1">
        <v>14769.97</v>
      </c>
      <c r="AH206" s="1">
        <v>18796.07</v>
      </c>
      <c r="AI206" s="1">
        <v>8362.78</v>
      </c>
      <c r="AJ206" s="6">
        <f t="shared" si="68"/>
        <v>301964.76</v>
      </c>
      <c r="AK206" s="1"/>
      <c r="AL206" s="1"/>
      <c r="AM206" s="1"/>
      <c r="AN206" s="1"/>
      <c r="AO206" s="6">
        <f aca="true" t="shared" si="80" ref="AO206:AO270">AJ206+AK206+AL206+AM206+AN206</f>
        <v>301964.76</v>
      </c>
      <c r="AP206" s="91">
        <f t="shared" si="52"/>
        <v>129091.961807177</v>
      </c>
      <c r="AQ206" s="10">
        <v>-4885.5</v>
      </c>
      <c r="AR206" s="10">
        <v>-5952.64</v>
      </c>
      <c r="AS206" s="34"/>
      <c r="AT206" s="116">
        <f t="shared" si="67"/>
        <v>118253.821807177</v>
      </c>
      <c r="AU206" s="116"/>
      <c r="AV206" s="161">
        <v>50574</v>
      </c>
      <c r="AW206" s="116"/>
      <c r="AX206" s="116">
        <f t="shared" si="66"/>
        <v>67679.821807177</v>
      </c>
      <c r="AY206" s="116">
        <v>19573.8</v>
      </c>
      <c r="AZ206" s="172">
        <f t="shared" si="69"/>
        <v>48106.02180717699</v>
      </c>
      <c r="BA206" s="130">
        <v>147644.54</v>
      </c>
    </row>
    <row r="207" spans="1:53" ht="12.75">
      <c r="A207" s="1">
        <v>195</v>
      </c>
      <c r="B207" s="1" t="s">
        <v>212</v>
      </c>
      <c r="C207" s="1">
        <v>2639.2</v>
      </c>
      <c r="D207" s="1">
        <v>495.9</v>
      </c>
      <c r="E207" s="7">
        <f t="shared" si="65"/>
        <v>3135.1</v>
      </c>
      <c r="F207" s="5">
        <v>2.9</v>
      </c>
      <c r="G207" s="5">
        <v>7.46</v>
      </c>
      <c r="H207" s="5">
        <f t="shared" si="70"/>
        <v>10.36</v>
      </c>
      <c r="I207" s="28">
        <f t="shared" si="71"/>
        <v>194877.816</v>
      </c>
      <c r="J207" s="5">
        <f t="shared" si="72"/>
        <v>3.101611830899999</v>
      </c>
      <c r="K207" s="5">
        <f t="shared" si="73"/>
        <v>7.978629054659999</v>
      </c>
      <c r="L207" s="27">
        <f t="shared" si="74"/>
        <v>11.080240885559999</v>
      </c>
      <c r="M207" s="61">
        <f t="shared" si="75"/>
        <v>208425.9792019149</v>
      </c>
      <c r="N207" s="34">
        <f t="shared" si="76"/>
        <v>403303.79520191485</v>
      </c>
      <c r="O207" s="34">
        <v>5682.62</v>
      </c>
      <c r="P207" s="34"/>
      <c r="Q207" s="5">
        <f t="shared" si="77"/>
        <v>397621.17520191486</v>
      </c>
      <c r="R207" s="30">
        <f t="shared" si="78"/>
        <v>397621.17520191486</v>
      </c>
      <c r="S207" s="1">
        <v>19386.2</v>
      </c>
      <c r="T207" s="1">
        <v>27837.98</v>
      </c>
      <c r="U207" s="1">
        <v>16509.88</v>
      </c>
      <c r="V207" s="1">
        <v>20742.33</v>
      </c>
      <c r="W207" s="1">
        <v>45677.01</v>
      </c>
      <c r="X207" s="1">
        <v>44501.91</v>
      </c>
      <c r="Y207" s="1">
        <v>15951.06</v>
      </c>
      <c r="Z207" s="1">
        <v>20642.52</v>
      </c>
      <c r="AA207" s="1">
        <v>43103.59</v>
      </c>
      <c r="AB207" s="1">
        <v>10335.7</v>
      </c>
      <c r="AC207" s="165">
        <f t="shared" si="79"/>
        <v>264688.18</v>
      </c>
      <c r="AD207" s="1">
        <v>0</v>
      </c>
      <c r="AE207" s="1">
        <v>14767.02</v>
      </c>
      <c r="AF207" s="1"/>
      <c r="AG207" s="1">
        <v>40483.77</v>
      </c>
      <c r="AH207" s="1">
        <v>0</v>
      </c>
      <c r="AI207" s="1">
        <v>24872.75</v>
      </c>
      <c r="AJ207" s="6">
        <f t="shared" si="68"/>
        <v>344811.72000000003</v>
      </c>
      <c r="AK207" s="1"/>
      <c r="AL207" s="1"/>
      <c r="AM207" s="1"/>
      <c r="AN207" s="1"/>
      <c r="AO207" s="6">
        <f t="shared" si="80"/>
        <v>344811.72000000003</v>
      </c>
      <c r="AP207" s="91">
        <f t="shared" si="52"/>
        <v>52809.455201914825</v>
      </c>
      <c r="AQ207" s="10"/>
      <c r="AR207" s="10"/>
      <c r="AS207" s="34"/>
      <c r="AT207" s="116">
        <f t="shared" si="67"/>
        <v>52809.455201914825</v>
      </c>
      <c r="AU207" s="116"/>
      <c r="AV207" s="161">
        <v>50574</v>
      </c>
      <c r="AW207" s="116"/>
      <c r="AX207" s="116">
        <f t="shared" si="66"/>
        <v>2235.455201914825</v>
      </c>
      <c r="AY207" s="116">
        <v>646.52</v>
      </c>
      <c r="AZ207" s="172">
        <f t="shared" si="69"/>
        <v>1588.935201914825</v>
      </c>
      <c r="BA207" s="130">
        <v>150271.01</v>
      </c>
    </row>
    <row r="208" spans="1:53" ht="12.75">
      <c r="A208" s="1">
        <v>196</v>
      </c>
      <c r="B208" s="84" t="s">
        <v>213</v>
      </c>
      <c r="C208" s="1">
        <v>3890.8</v>
      </c>
      <c r="D208" s="1">
        <v>624.5</v>
      </c>
      <c r="E208" s="7">
        <f t="shared" si="65"/>
        <v>4515.3</v>
      </c>
      <c r="F208" s="5">
        <v>2.9</v>
      </c>
      <c r="G208" s="5">
        <v>7.46</v>
      </c>
      <c r="H208" s="5">
        <f t="shared" si="70"/>
        <v>10.36</v>
      </c>
      <c r="I208" s="28">
        <f t="shared" si="71"/>
        <v>280671.048</v>
      </c>
      <c r="J208" s="5">
        <f t="shared" si="72"/>
        <v>3.101611830899999</v>
      </c>
      <c r="K208" s="5">
        <f t="shared" si="73"/>
        <v>7.978629054659999</v>
      </c>
      <c r="L208" s="27">
        <f t="shared" si="74"/>
        <v>11.080240885559999</v>
      </c>
      <c r="M208" s="61">
        <f t="shared" si="75"/>
        <v>300183.6700234144</v>
      </c>
      <c r="N208" s="34">
        <f t="shared" si="76"/>
        <v>580854.7180234145</v>
      </c>
      <c r="O208" s="34"/>
      <c r="P208" s="34"/>
      <c r="Q208" s="5">
        <f t="shared" si="77"/>
        <v>580854.7180234145</v>
      </c>
      <c r="R208" s="30">
        <f t="shared" si="78"/>
        <v>580854.7180234145</v>
      </c>
      <c r="S208" s="1">
        <v>24004.2</v>
      </c>
      <c r="T208" s="1">
        <v>25608.82</v>
      </c>
      <c r="U208" s="1">
        <v>41798.2</v>
      </c>
      <c r="V208" s="1">
        <v>21539.19</v>
      </c>
      <c r="W208" s="1">
        <v>33054.55</v>
      </c>
      <c r="X208" s="1">
        <v>24994.5</v>
      </c>
      <c r="Y208" s="1">
        <v>25721.58</v>
      </c>
      <c r="Z208" s="1">
        <v>136733.44</v>
      </c>
      <c r="AA208" s="1">
        <v>29700.12</v>
      </c>
      <c r="AB208" s="1">
        <v>9253.7</v>
      </c>
      <c r="AC208" s="165">
        <f t="shared" si="79"/>
        <v>372408.30000000005</v>
      </c>
      <c r="AD208" s="1">
        <v>8965.77</v>
      </c>
      <c r="AE208" s="1">
        <v>5387.26</v>
      </c>
      <c r="AF208" s="1">
        <v>23196.36</v>
      </c>
      <c r="AG208" s="1">
        <v>12190.75</v>
      </c>
      <c r="AH208" s="1">
        <v>215476.92</v>
      </c>
      <c r="AI208" s="1">
        <v>28318.88</v>
      </c>
      <c r="AJ208" s="6">
        <f t="shared" si="68"/>
        <v>665944.2400000001</v>
      </c>
      <c r="AK208" s="1">
        <f>2660+564</f>
        <v>3224</v>
      </c>
      <c r="AL208" s="1">
        <f>230+3300+145+3375.4+3030+3293</f>
        <v>13373.4</v>
      </c>
      <c r="AM208" s="1"/>
      <c r="AN208" s="1"/>
      <c r="AO208" s="6">
        <f t="shared" si="80"/>
        <v>682541.6400000001</v>
      </c>
      <c r="AP208" s="91">
        <f t="shared" si="52"/>
        <v>-101686.92197658564</v>
      </c>
      <c r="AQ208" s="10">
        <v>68038.99</v>
      </c>
      <c r="AR208" s="10">
        <v>73912.1</v>
      </c>
      <c r="AS208" s="34"/>
      <c r="AT208" s="34">
        <f t="shared" si="67"/>
        <v>40264.16802341437</v>
      </c>
      <c r="AU208" s="116"/>
      <c r="AV208" s="116"/>
      <c r="AW208" s="116">
        <f>3410+2190+3640</f>
        <v>9240</v>
      </c>
      <c r="AX208" s="116">
        <f t="shared" si="66"/>
        <v>31024.16802341437</v>
      </c>
      <c r="AY208" s="116">
        <v>8972.56</v>
      </c>
      <c r="AZ208" s="172">
        <f t="shared" si="69"/>
        <v>22051.608023414374</v>
      </c>
      <c r="BA208" s="130">
        <v>209998.83</v>
      </c>
    </row>
    <row r="209" spans="1:53" ht="12.75">
      <c r="A209" s="1">
        <v>197</v>
      </c>
      <c r="B209" s="84" t="s">
        <v>214</v>
      </c>
      <c r="C209" s="1">
        <v>4515.4</v>
      </c>
      <c r="D209" s="1">
        <v>0</v>
      </c>
      <c r="E209" s="7">
        <f t="shared" si="65"/>
        <v>4515.4</v>
      </c>
      <c r="F209" s="5">
        <v>2.9</v>
      </c>
      <c r="G209" s="5">
        <v>7.46</v>
      </c>
      <c r="H209" s="5">
        <f t="shared" si="70"/>
        <v>10.36</v>
      </c>
      <c r="I209" s="28">
        <f t="shared" si="71"/>
        <v>280677.26399999997</v>
      </c>
      <c r="J209" s="5">
        <f t="shared" si="72"/>
        <v>3.101611830899999</v>
      </c>
      <c r="K209" s="5">
        <f t="shared" si="73"/>
        <v>7.978629054659999</v>
      </c>
      <c r="L209" s="27">
        <f t="shared" si="74"/>
        <v>11.080240885559999</v>
      </c>
      <c r="M209" s="61">
        <f t="shared" si="75"/>
        <v>300190.3181679457</v>
      </c>
      <c r="N209" s="34">
        <f t="shared" si="76"/>
        <v>580867.5821679457</v>
      </c>
      <c r="O209" s="34">
        <v>57959.27</v>
      </c>
      <c r="P209" s="34"/>
      <c r="Q209" s="5">
        <f t="shared" si="77"/>
        <v>522908.31216794567</v>
      </c>
      <c r="R209" s="30">
        <f t="shared" si="78"/>
        <v>522908.31216794567</v>
      </c>
      <c r="S209" s="1">
        <v>21940.35</v>
      </c>
      <c r="T209" s="1">
        <v>22612.11</v>
      </c>
      <c r="U209" s="1">
        <v>19970.9</v>
      </c>
      <c r="V209" s="1">
        <v>37340.77</v>
      </c>
      <c r="W209" s="1">
        <v>24289.04</v>
      </c>
      <c r="X209" s="1">
        <v>35739.6</v>
      </c>
      <c r="Y209" s="1">
        <v>32091.84</v>
      </c>
      <c r="Z209" s="1">
        <v>60282.8</v>
      </c>
      <c r="AA209" s="1">
        <v>38094.68</v>
      </c>
      <c r="AB209" s="1">
        <v>10784.76</v>
      </c>
      <c r="AC209" s="165">
        <f t="shared" si="79"/>
        <v>303146.85000000003</v>
      </c>
      <c r="AD209" s="1">
        <v>11156.15</v>
      </c>
      <c r="AE209" s="1">
        <v>6161.22</v>
      </c>
      <c r="AF209" s="1">
        <v>64358.96</v>
      </c>
      <c r="AG209" s="10">
        <v>24120.57</v>
      </c>
      <c r="AH209" s="2">
        <v>22056.4</v>
      </c>
      <c r="AI209" s="1">
        <v>13947.09</v>
      </c>
      <c r="AJ209" s="6">
        <f t="shared" si="68"/>
        <v>444947.2400000001</v>
      </c>
      <c r="AK209" s="1"/>
      <c r="AL209" s="1"/>
      <c r="AM209" s="1"/>
      <c r="AN209" s="1"/>
      <c r="AO209" s="6">
        <f t="shared" si="80"/>
        <v>444947.2400000001</v>
      </c>
      <c r="AP209" s="91">
        <f t="shared" si="52"/>
        <v>77961.07216794556</v>
      </c>
      <c r="AQ209" s="10"/>
      <c r="AR209" s="10"/>
      <c r="AS209" s="34"/>
      <c r="AT209" s="116">
        <f t="shared" si="67"/>
        <v>77961.07216794556</v>
      </c>
      <c r="AU209" s="116"/>
      <c r="AV209" s="144">
        <v>76230.56</v>
      </c>
      <c r="AW209" s="116"/>
      <c r="AX209" s="116">
        <f t="shared" si="66"/>
        <v>1730.5121679455624</v>
      </c>
      <c r="AY209" s="116">
        <v>500.48</v>
      </c>
      <c r="AZ209" s="172">
        <f t="shared" si="69"/>
        <v>1230.0321679455624</v>
      </c>
      <c r="BA209" s="130">
        <v>208979.09</v>
      </c>
    </row>
    <row r="210" spans="1:53" ht="12.75">
      <c r="A210" s="1">
        <v>198</v>
      </c>
      <c r="B210" s="84" t="s">
        <v>215</v>
      </c>
      <c r="C210" s="1">
        <v>4577.7</v>
      </c>
      <c r="D210" s="1">
        <v>252.3</v>
      </c>
      <c r="E210" s="7">
        <f t="shared" si="65"/>
        <v>4830</v>
      </c>
      <c r="F210" s="5">
        <v>2.9</v>
      </c>
      <c r="G210" s="5">
        <v>7.35</v>
      </c>
      <c r="H210" s="5">
        <f t="shared" si="70"/>
        <v>10.25</v>
      </c>
      <c r="I210" s="28">
        <f t="shared" si="71"/>
        <v>297045</v>
      </c>
      <c r="J210" s="5">
        <f t="shared" si="72"/>
        <v>3.101611830899999</v>
      </c>
      <c r="K210" s="5">
        <f t="shared" si="73"/>
        <v>7.860981709349999</v>
      </c>
      <c r="L210" s="27">
        <f t="shared" si="74"/>
        <v>10.962593540249998</v>
      </c>
      <c r="M210" s="61">
        <f t="shared" si="75"/>
        <v>317695.96079644497</v>
      </c>
      <c r="N210" s="34">
        <f t="shared" si="76"/>
        <v>614740.9607964449</v>
      </c>
      <c r="O210" s="34">
        <v>556.7</v>
      </c>
      <c r="P210" s="34"/>
      <c r="Q210" s="5">
        <f t="shared" si="77"/>
        <v>614184.260796445</v>
      </c>
      <c r="R210" s="30">
        <f t="shared" si="78"/>
        <v>614184.260796445</v>
      </c>
      <c r="S210" s="1">
        <v>29627.67</v>
      </c>
      <c r="T210" s="1">
        <v>174537.7</v>
      </c>
      <c r="U210" s="1">
        <v>24459.82</v>
      </c>
      <c r="V210" s="1">
        <v>28219.38</v>
      </c>
      <c r="W210" s="1">
        <v>23772.61</v>
      </c>
      <c r="X210" s="1">
        <v>96754.51</v>
      </c>
      <c r="Y210" s="1">
        <v>25546.84</v>
      </c>
      <c r="Z210" s="1">
        <v>177849.54</v>
      </c>
      <c r="AA210" s="1">
        <v>29567.67</v>
      </c>
      <c r="AB210" s="1">
        <v>12028.16</v>
      </c>
      <c r="AC210" s="165">
        <f t="shared" si="79"/>
        <v>622363.9000000001</v>
      </c>
      <c r="AD210" s="1">
        <v>10873.73</v>
      </c>
      <c r="AE210" s="1">
        <v>6671.59</v>
      </c>
      <c r="AF210" s="1">
        <v>13286.67</v>
      </c>
      <c r="AG210" s="1">
        <v>14407.31</v>
      </c>
      <c r="AH210" s="1">
        <v>11976.17</v>
      </c>
      <c r="AI210" s="1">
        <v>11166.57</v>
      </c>
      <c r="AJ210" s="6">
        <f t="shared" si="68"/>
        <v>690745.9400000002</v>
      </c>
      <c r="AK210" s="1"/>
      <c r="AL210" s="1"/>
      <c r="AM210" s="1"/>
      <c r="AN210" s="1"/>
      <c r="AO210" s="6">
        <f t="shared" si="80"/>
        <v>690745.9400000002</v>
      </c>
      <c r="AP210" s="136">
        <f t="shared" si="52"/>
        <v>-76561.67920355522</v>
      </c>
      <c r="AQ210" s="110"/>
      <c r="AR210" s="110"/>
      <c r="AS210" s="111"/>
      <c r="AT210" s="111">
        <f t="shared" si="67"/>
        <v>-76561.67920355522</v>
      </c>
      <c r="AU210" s="121"/>
      <c r="AV210" s="111"/>
      <c r="AW210" s="111"/>
      <c r="AX210" s="111"/>
      <c r="AY210" s="116"/>
      <c r="AZ210" s="172">
        <f t="shared" si="69"/>
        <v>0</v>
      </c>
      <c r="BA210" s="130">
        <v>130290.38</v>
      </c>
    </row>
    <row r="211" spans="1:53" ht="12.75">
      <c r="A211" s="1">
        <v>199</v>
      </c>
      <c r="B211" s="84" t="s">
        <v>216</v>
      </c>
      <c r="C211" s="1">
        <v>3741.7</v>
      </c>
      <c r="D211" s="1">
        <v>0</v>
      </c>
      <c r="E211" s="7">
        <f t="shared" si="65"/>
        <v>3741.7</v>
      </c>
      <c r="F211" s="5">
        <v>2.9</v>
      </c>
      <c r="G211" s="5">
        <v>7.85</v>
      </c>
      <c r="H211" s="5">
        <f t="shared" si="70"/>
        <v>10.75</v>
      </c>
      <c r="I211" s="28">
        <f t="shared" si="71"/>
        <v>241339.65000000002</v>
      </c>
      <c r="J211" s="5">
        <f t="shared" si="72"/>
        <v>3.101611830899999</v>
      </c>
      <c r="K211" s="5">
        <f t="shared" si="73"/>
        <v>8.395742369849998</v>
      </c>
      <c r="L211" s="27">
        <f t="shared" si="74"/>
        <v>11.497354200749998</v>
      </c>
      <c r="M211" s="61">
        <f t="shared" si="75"/>
        <v>258117.90127767756</v>
      </c>
      <c r="N211" s="34">
        <f t="shared" si="76"/>
        <v>499457.5512776776</v>
      </c>
      <c r="O211" s="34">
        <v>209302.87</v>
      </c>
      <c r="P211" s="34"/>
      <c r="Q211" s="5">
        <f t="shared" si="77"/>
        <v>290154.6812776776</v>
      </c>
      <c r="R211" s="30">
        <f t="shared" si="78"/>
        <v>290154.6812776776</v>
      </c>
      <c r="S211" s="1">
        <v>30253.41</v>
      </c>
      <c r="T211" s="1">
        <v>18856.98</v>
      </c>
      <c r="U211" s="1">
        <v>22545.79</v>
      </c>
      <c r="V211" s="1">
        <v>22221.19</v>
      </c>
      <c r="W211" s="1">
        <v>66159.01</v>
      </c>
      <c r="X211" s="1">
        <v>24651.89</v>
      </c>
      <c r="Y211" s="1">
        <v>34814.64</v>
      </c>
      <c r="Z211" s="1">
        <v>91734.88</v>
      </c>
      <c r="AA211" s="1">
        <v>18681.68</v>
      </c>
      <c r="AB211" s="1">
        <v>12627.48</v>
      </c>
      <c r="AC211" s="165">
        <f t="shared" si="79"/>
        <v>342546.95</v>
      </c>
      <c r="AD211" s="1">
        <v>7418.74</v>
      </c>
      <c r="AE211" s="1">
        <v>14763.61</v>
      </c>
      <c r="AF211" s="1">
        <v>12278.29</v>
      </c>
      <c r="AG211" s="1">
        <v>10797.27</v>
      </c>
      <c r="AH211" s="1">
        <v>11141.31</v>
      </c>
      <c r="AI211" s="1">
        <v>8553.83</v>
      </c>
      <c r="AJ211" s="6">
        <f t="shared" si="68"/>
        <v>407500</v>
      </c>
      <c r="AK211" s="1"/>
      <c r="AL211" s="1"/>
      <c r="AM211" s="1"/>
      <c r="AN211" s="1"/>
      <c r="AO211" s="6">
        <f t="shared" si="80"/>
        <v>407500</v>
      </c>
      <c r="AP211" s="136">
        <f t="shared" si="52"/>
        <v>-117345.31872232241</v>
      </c>
      <c r="AQ211" s="110"/>
      <c r="AR211" s="110"/>
      <c r="AS211" s="111"/>
      <c r="AT211" s="111">
        <f t="shared" si="67"/>
        <v>-117345.31872232241</v>
      </c>
      <c r="AU211" s="121"/>
      <c r="AV211" s="111"/>
      <c r="AW211" s="111"/>
      <c r="AX211" s="111"/>
      <c r="AY211" s="116"/>
      <c r="AZ211" s="172">
        <f t="shared" si="69"/>
        <v>0</v>
      </c>
      <c r="BA211" s="130">
        <v>184245.59</v>
      </c>
    </row>
    <row r="212" spans="1:53" ht="12.75">
      <c r="A212" s="1">
        <v>200</v>
      </c>
      <c r="B212" s="84" t="s">
        <v>217</v>
      </c>
      <c r="C212" s="1">
        <v>4565.3</v>
      </c>
      <c r="D212" s="1">
        <v>324.8</v>
      </c>
      <c r="E212" s="7">
        <f t="shared" si="65"/>
        <v>4890.1</v>
      </c>
      <c r="F212" s="5">
        <v>2.9</v>
      </c>
      <c r="G212" s="5">
        <v>7.35</v>
      </c>
      <c r="H212" s="5">
        <f t="shared" si="70"/>
        <v>10.25</v>
      </c>
      <c r="I212" s="28">
        <f t="shared" si="71"/>
        <v>300741.15</v>
      </c>
      <c r="J212" s="5">
        <f t="shared" si="72"/>
        <v>3.101611830899999</v>
      </c>
      <c r="K212" s="5">
        <f t="shared" si="73"/>
        <v>7.860981709349999</v>
      </c>
      <c r="L212" s="27">
        <f t="shared" si="74"/>
        <v>10.962593540249998</v>
      </c>
      <c r="M212" s="61">
        <f t="shared" si="75"/>
        <v>321649.0720270591</v>
      </c>
      <c r="N212" s="34">
        <f t="shared" si="76"/>
        <v>622390.2220270592</v>
      </c>
      <c r="O212" s="34"/>
      <c r="P212" s="34"/>
      <c r="Q212" s="5">
        <f t="shared" si="77"/>
        <v>622390.2220270592</v>
      </c>
      <c r="R212" s="30">
        <f t="shared" si="78"/>
        <v>622390.2220270592</v>
      </c>
      <c r="S212" s="1">
        <v>28178.82</v>
      </c>
      <c r="T212" s="2">
        <f>25310.08-2052.44</f>
        <v>23257.640000000003</v>
      </c>
      <c r="U212" s="1">
        <v>21004.9</v>
      </c>
      <c r="V212" s="1">
        <v>21393.15</v>
      </c>
      <c r="W212" s="1">
        <v>20998.24</v>
      </c>
      <c r="X212" s="2">
        <f>35669.12-12390.75</f>
        <v>23278.370000000003</v>
      </c>
      <c r="Y212" s="2">
        <f>89823.46-25967.43</f>
        <v>63856.030000000006</v>
      </c>
      <c r="Z212" s="1">
        <v>24674.11</v>
      </c>
      <c r="AA212" s="2">
        <f>28919.78-6810.21</f>
        <v>22109.57</v>
      </c>
      <c r="AB212" s="1">
        <v>22888.28</v>
      </c>
      <c r="AC212" s="165">
        <f t="shared" si="79"/>
        <v>271639.11</v>
      </c>
      <c r="AD212" s="1">
        <v>12906.79</v>
      </c>
      <c r="AE212" s="1">
        <v>7443.09</v>
      </c>
      <c r="AF212" s="2">
        <v>15094.61</v>
      </c>
      <c r="AG212" s="1">
        <v>16367.76</v>
      </c>
      <c r="AH212" s="2">
        <v>7155.86</v>
      </c>
      <c r="AI212" s="1">
        <v>10709.42</v>
      </c>
      <c r="AJ212" s="6">
        <f t="shared" si="68"/>
        <v>341316.63999999996</v>
      </c>
      <c r="AK212" s="1">
        <f>178+530</f>
        <v>708</v>
      </c>
      <c r="AL212" s="1"/>
      <c r="AM212" s="1"/>
      <c r="AN212" s="1">
        <v>161096</v>
      </c>
      <c r="AO212" s="6">
        <f t="shared" si="80"/>
        <v>503120.63999999996</v>
      </c>
      <c r="AP212" s="91">
        <f t="shared" si="52"/>
        <v>119269.58202705922</v>
      </c>
      <c r="AQ212" s="10"/>
      <c r="AR212" s="10"/>
      <c r="AS212" s="34"/>
      <c r="AT212" s="116">
        <f t="shared" si="67"/>
        <v>119269.58202705922</v>
      </c>
      <c r="AU212" s="116"/>
      <c r="AV212" s="116"/>
      <c r="AW212" s="116">
        <f>9627+1400</f>
        <v>11027</v>
      </c>
      <c r="AX212" s="116">
        <f>AT212+AU212-AV212-AW212</f>
        <v>108242.58202705922</v>
      </c>
      <c r="AY212" s="116">
        <v>31305.03</v>
      </c>
      <c r="AZ212" s="172">
        <f t="shared" si="69"/>
        <v>76937.55202705922</v>
      </c>
      <c r="BA212" s="130">
        <v>105775.22</v>
      </c>
    </row>
    <row r="213" spans="1:53" ht="12.75">
      <c r="A213" s="1">
        <v>201</v>
      </c>
      <c r="B213" s="1" t="s">
        <v>218</v>
      </c>
      <c r="C213" s="1">
        <v>4278</v>
      </c>
      <c r="D213" s="1">
        <v>235.3</v>
      </c>
      <c r="E213" s="7">
        <f t="shared" si="65"/>
        <v>4513.3</v>
      </c>
      <c r="F213" s="5">
        <v>2.9</v>
      </c>
      <c r="G213" s="5">
        <v>7.35</v>
      </c>
      <c r="H213" s="5">
        <f t="shared" si="70"/>
        <v>10.25</v>
      </c>
      <c r="I213" s="28">
        <f t="shared" si="71"/>
        <v>277567.95</v>
      </c>
      <c r="J213" s="5">
        <f t="shared" si="72"/>
        <v>3.101611830899999</v>
      </c>
      <c r="K213" s="5">
        <f t="shared" si="73"/>
        <v>7.860981709349999</v>
      </c>
      <c r="L213" s="27">
        <f t="shared" si="74"/>
        <v>10.962593540249998</v>
      </c>
      <c r="M213" s="61">
        <f t="shared" si="75"/>
        <v>296864.8405512619</v>
      </c>
      <c r="N213" s="34">
        <f t="shared" si="76"/>
        <v>574432.790551262</v>
      </c>
      <c r="O213" s="34"/>
      <c r="P213" s="34"/>
      <c r="Q213" s="5">
        <f t="shared" si="77"/>
        <v>574432.790551262</v>
      </c>
      <c r="R213" s="30">
        <f t="shared" si="78"/>
        <v>574432.790551262</v>
      </c>
      <c r="S213" s="1">
        <v>21629.5</v>
      </c>
      <c r="T213" s="1">
        <v>29895.07</v>
      </c>
      <c r="U213" s="1">
        <v>18903.08</v>
      </c>
      <c r="V213" s="1">
        <v>22508.25</v>
      </c>
      <c r="W213" s="1">
        <v>98717.42</v>
      </c>
      <c r="X213" s="1">
        <v>35383.27</v>
      </c>
      <c r="Y213" s="1">
        <v>66261.72</v>
      </c>
      <c r="Z213" s="1">
        <v>25640.63</v>
      </c>
      <c r="AA213" s="1">
        <v>26899.67</v>
      </c>
      <c r="AB213" s="1">
        <v>82818.83</v>
      </c>
      <c r="AC213" s="165">
        <f t="shared" si="79"/>
        <v>428657.44</v>
      </c>
      <c r="AD213" s="1">
        <v>0</v>
      </c>
      <c r="AE213" s="1">
        <v>154260.2</v>
      </c>
      <c r="AF213" s="1"/>
      <c r="AG213" s="1">
        <v>57478.9</v>
      </c>
      <c r="AH213" s="1">
        <v>0</v>
      </c>
      <c r="AI213" s="1">
        <v>30558.48</v>
      </c>
      <c r="AJ213" s="6">
        <f t="shared" si="68"/>
        <v>670955.02</v>
      </c>
      <c r="AK213" s="1"/>
      <c r="AL213" s="1"/>
      <c r="AM213" s="1"/>
      <c r="AN213" s="95">
        <v>44611</v>
      </c>
      <c r="AO213" s="6">
        <f t="shared" si="80"/>
        <v>715566.02</v>
      </c>
      <c r="AP213" s="136">
        <f t="shared" si="52"/>
        <v>-141133.22944873804</v>
      </c>
      <c r="AQ213" s="110"/>
      <c r="AR213" s="110">
        <v>68886.05</v>
      </c>
      <c r="AS213" s="111"/>
      <c r="AT213" s="111">
        <f t="shared" si="67"/>
        <v>-72247.17944873804</v>
      </c>
      <c r="AU213" s="121">
        <v>2897</v>
      </c>
      <c r="AV213" s="111"/>
      <c r="AW213" s="111"/>
      <c r="AX213" s="147">
        <f>AU213-AV213</f>
        <v>2897</v>
      </c>
      <c r="AY213" s="116">
        <v>837.85</v>
      </c>
      <c r="AZ213" s="172">
        <f t="shared" si="69"/>
        <v>2059.15</v>
      </c>
      <c r="BA213" s="130">
        <v>158796.53</v>
      </c>
    </row>
    <row r="214" spans="1:53" ht="12.75">
      <c r="A214" s="1">
        <v>202</v>
      </c>
      <c r="B214" s="84" t="s">
        <v>219</v>
      </c>
      <c r="C214" s="1">
        <v>2631.9</v>
      </c>
      <c r="D214" s="1">
        <v>0</v>
      </c>
      <c r="E214" s="7">
        <f t="shared" si="65"/>
        <v>2631.9</v>
      </c>
      <c r="F214" s="5">
        <v>2.9</v>
      </c>
      <c r="G214" s="5">
        <v>7.65</v>
      </c>
      <c r="H214" s="5">
        <f t="shared" si="70"/>
        <v>10.55</v>
      </c>
      <c r="I214" s="28">
        <f t="shared" si="71"/>
        <v>166599.27000000002</v>
      </c>
      <c r="J214" s="5">
        <f t="shared" si="72"/>
        <v>3.101611830899999</v>
      </c>
      <c r="K214" s="5">
        <f t="shared" si="73"/>
        <v>8.181838105649998</v>
      </c>
      <c r="L214" s="27">
        <f t="shared" si="74"/>
        <v>11.283449936549998</v>
      </c>
      <c r="M214" s="61">
        <f t="shared" si="75"/>
        <v>178181.47132803564</v>
      </c>
      <c r="N214" s="34">
        <f t="shared" si="76"/>
        <v>344780.74132803566</v>
      </c>
      <c r="O214" s="34">
        <v>78080.36</v>
      </c>
      <c r="P214" s="34"/>
      <c r="Q214" s="5">
        <f t="shared" si="77"/>
        <v>266700.38132803567</v>
      </c>
      <c r="R214" s="30">
        <f t="shared" si="78"/>
        <v>266700.38132803567</v>
      </c>
      <c r="S214" s="1">
        <v>37809.83</v>
      </c>
      <c r="T214" s="1">
        <v>16041.68</v>
      </c>
      <c r="U214" s="1">
        <v>19469.09</v>
      </c>
      <c r="V214" s="1">
        <v>16725.83</v>
      </c>
      <c r="W214" s="1">
        <v>17171.58</v>
      </c>
      <c r="X214" s="1">
        <v>37645.52</v>
      </c>
      <c r="Y214" s="1">
        <v>21274.38</v>
      </c>
      <c r="Z214" s="1">
        <v>45240.83</v>
      </c>
      <c r="AA214" s="1">
        <v>20484.06</v>
      </c>
      <c r="AB214" s="1">
        <v>7327.09</v>
      </c>
      <c r="AC214" s="165">
        <f t="shared" si="79"/>
        <v>239189.88999999998</v>
      </c>
      <c r="AD214" s="1">
        <v>7585.57</v>
      </c>
      <c r="AE214" s="1">
        <v>7986.43</v>
      </c>
      <c r="AF214" s="1">
        <v>11264.89</v>
      </c>
      <c r="AG214" s="1">
        <v>6618.57</v>
      </c>
      <c r="AH214" s="1">
        <v>9917.8</v>
      </c>
      <c r="AI214" s="1">
        <v>5902.93</v>
      </c>
      <c r="AJ214" s="6">
        <f t="shared" si="68"/>
        <v>288466.07999999996</v>
      </c>
      <c r="AK214" s="1"/>
      <c r="AL214" s="1"/>
      <c r="AM214" s="1"/>
      <c r="AN214" s="95">
        <v>57190</v>
      </c>
      <c r="AO214" s="6">
        <f t="shared" si="80"/>
        <v>345656.07999999996</v>
      </c>
      <c r="AP214" s="136">
        <f t="shared" si="52"/>
        <v>-78955.69867196429</v>
      </c>
      <c r="AQ214" s="110"/>
      <c r="AR214" s="110"/>
      <c r="AS214" s="111"/>
      <c r="AT214" s="111">
        <f t="shared" si="67"/>
        <v>-78955.69867196429</v>
      </c>
      <c r="AU214" s="121">
        <v>4183</v>
      </c>
      <c r="AV214" s="111"/>
      <c r="AW214" s="111"/>
      <c r="AX214" s="111">
        <f>AU214-AV214</f>
        <v>4183</v>
      </c>
      <c r="AY214" s="116">
        <v>1209.77</v>
      </c>
      <c r="AZ214" s="172">
        <f t="shared" si="69"/>
        <v>2973.23</v>
      </c>
      <c r="BA214" s="130">
        <v>175286.29</v>
      </c>
    </row>
    <row r="215" spans="1:53" ht="12.75">
      <c r="A215" s="1">
        <v>203</v>
      </c>
      <c r="B215" s="84" t="s">
        <v>220</v>
      </c>
      <c r="C215" s="1">
        <v>3007.9</v>
      </c>
      <c r="D215" s="2">
        <v>579.6</v>
      </c>
      <c r="E215" s="7">
        <f t="shared" si="65"/>
        <v>3587.5</v>
      </c>
      <c r="F215" s="5">
        <v>2.9</v>
      </c>
      <c r="G215" s="5">
        <v>7.26</v>
      </c>
      <c r="H215" s="5">
        <f t="shared" si="70"/>
        <v>10.16</v>
      </c>
      <c r="I215" s="28">
        <f t="shared" si="71"/>
        <v>218694</v>
      </c>
      <c r="J215" s="5">
        <f t="shared" si="72"/>
        <v>3.101611830899999</v>
      </c>
      <c r="K215" s="5">
        <f t="shared" si="73"/>
        <v>7.764724790459999</v>
      </c>
      <c r="L215" s="27">
        <f t="shared" si="74"/>
        <v>10.866336621359999</v>
      </c>
      <c r="M215" s="61">
        <f t="shared" si="75"/>
        <v>233897.89577477396</v>
      </c>
      <c r="N215" s="34">
        <f t="shared" si="76"/>
        <v>452591.89577477396</v>
      </c>
      <c r="O215" s="34"/>
      <c r="P215" s="34"/>
      <c r="Q215" s="5">
        <f t="shared" si="77"/>
        <v>452591.89577477396</v>
      </c>
      <c r="R215" s="30">
        <f t="shared" si="78"/>
        <v>452591.89577477396</v>
      </c>
      <c r="S215" s="1">
        <v>40099.38</v>
      </c>
      <c r="T215" s="1">
        <v>16595.79</v>
      </c>
      <c r="U215" s="1">
        <v>15493.55</v>
      </c>
      <c r="V215" s="1">
        <v>17797.91</v>
      </c>
      <c r="W215" s="1">
        <v>26464.05</v>
      </c>
      <c r="X215" s="1">
        <v>27950.49</v>
      </c>
      <c r="Y215" s="1">
        <v>20033.68</v>
      </c>
      <c r="Z215" s="1">
        <v>20590.8</v>
      </c>
      <c r="AA215" s="1">
        <v>25818.17</v>
      </c>
      <c r="AB215" s="1">
        <v>6907.36</v>
      </c>
      <c r="AC215" s="165">
        <f t="shared" si="79"/>
        <v>217751.18</v>
      </c>
      <c r="AD215" s="1">
        <v>7490.05</v>
      </c>
      <c r="AE215" s="1">
        <v>4974.03</v>
      </c>
      <c r="AF215" s="1">
        <v>8896.01</v>
      </c>
      <c r="AG215" s="1">
        <v>9012.41</v>
      </c>
      <c r="AH215" s="1">
        <v>13725.83</v>
      </c>
      <c r="AI215" s="1">
        <v>13473.4</v>
      </c>
      <c r="AJ215" s="6">
        <f t="shared" si="68"/>
        <v>275322.91</v>
      </c>
      <c r="AK215" s="1">
        <f>15*173.86+2314</f>
        <v>4921.9</v>
      </c>
      <c r="AL215" s="1"/>
      <c r="AM215" s="1"/>
      <c r="AN215" s="1"/>
      <c r="AO215" s="6">
        <f t="shared" si="80"/>
        <v>280244.81</v>
      </c>
      <c r="AP215" s="91">
        <f t="shared" si="52"/>
        <v>172347.08577477396</v>
      </c>
      <c r="AQ215" s="10">
        <v>-32139.98</v>
      </c>
      <c r="AR215" s="10">
        <v>182807.18</v>
      </c>
      <c r="AS215" s="34"/>
      <c r="AT215" s="116">
        <f t="shared" si="67"/>
        <v>323014.2857747739</v>
      </c>
      <c r="AU215" s="116">
        <v>3585</v>
      </c>
      <c r="AV215" s="116">
        <v>234997.83</v>
      </c>
      <c r="AW215" s="116">
        <v>807</v>
      </c>
      <c r="AX215" s="116">
        <f>AT215+AU215-AV215-AW215</f>
        <v>90794.45577477393</v>
      </c>
      <c r="AY215" s="116">
        <v>26258.83</v>
      </c>
      <c r="AZ215" s="172">
        <f t="shared" si="69"/>
        <v>64535.62577477393</v>
      </c>
      <c r="BA215" s="130">
        <v>103099.97</v>
      </c>
    </row>
    <row r="216" spans="1:53" ht="12.75">
      <c r="A216" s="1">
        <v>204</v>
      </c>
      <c r="B216" s="84" t="s">
        <v>221</v>
      </c>
      <c r="C216" s="1">
        <v>2660.2</v>
      </c>
      <c r="D216" s="1">
        <v>687.4</v>
      </c>
      <c r="E216" s="7">
        <f t="shared" si="65"/>
        <v>3347.6</v>
      </c>
      <c r="F216" s="5">
        <v>2.9</v>
      </c>
      <c r="G216" s="5">
        <v>7.26</v>
      </c>
      <c r="H216" s="5">
        <f t="shared" si="70"/>
        <v>10.16</v>
      </c>
      <c r="I216" s="28">
        <f t="shared" si="71"/>
        <v>204069.696</v>
      </c>
      <c r="J216" s="5">
        <f t="shared" si="72"/>
        <v>3.101611830899999</v>
      </c>
      <c r="K216" s="5">
        <f t="shared" si="73"/>
        <v>7.764724790459999</v>
      </c>
      <c r="L216" s="27">
        <f t="shared" si="74"/>
        <v>10.866336621359999</v>
      </c>
      <c r="M216" s="61">
        <f t="shared" si="75"/>
        <v>218256.89084198838</v>
      </c>
      <c r="N216" s="34">
        <f t="shared" si="76"/>
        <v>422326.5868419884</v>
      </c>
      <c r="O216" s="34"/>
      <c r="P216" s="34"/>
      <c r="Q216" s="5">
        <f t="shared" si="77"/>
        <v>422326.5868419884</v>
      </c>
      <c r="R216" s="30">
        <f t="shared" si="78"/>
        <v>422326.5868419884</v>
      </c>
      <c r="S216" s="1">
        <v>19809.35</v>
      </c>
      <c r="T216" s="1">
        <v>17595.57</v>
      </c>
      <c r="U216" s="1">
        <v>17301.09</v>
      </c>
      <c r="V216" s="1">
        <v>15936.8</v>
      </c>
      <c r="W216" s="1">
        <v>26123.82</v>
      </c>
      <c r="X216" s="1">
        <v>20629.15</v>
      </c>
      <c r="Y216" s="1">
        <v>16210.5</v>
      </c>
      <c r="Z216" s="1">
        <v>20436.2</v>
      </c>
      <c r="AA216" s="1">
        <v>18179.29</v>
      </c>
      <c r="AB216" s="1">
        <v>6869.99</v>
      </c>
      <c r="AC216" s="165">
        <f t="shared" si="79"/>
        <v>179091.76</v>
      </c>
      <c r="AD216" s="1">
        <v>6248.34</v>
      </c>
      <c r="AE216" s="1">
        <v>4041.47</v>
      </c>
      <c r="AF216" s="1">
        <v>17012.94</v>
      </c>
      <c r="AG216" s="1">
        <v>14087.2</v>
      </c>
      <c r="AH216" s="1">
        <v>12997.54</v>
      </c>
      <c r="AI216" s="1">
        <v>115406.77</v>
      </c>
      <c r="AJ216" s="6">
        <f t="shared" si="68"/>
        <v>348886.02</v>
      </c>
      <c r="AK216" s="1"/>
      <c r="AL216" s="1"/>
      <c r="AM216" s="1"/>
      <c r="AN216" s="1"/>
      <c r="AO216" s="6">
        <f t="shared" si="80"/>
        <v>348886.02</v>
      </c>
      <c r="AP216" s="91">
        <f t="shared" si="52"/>
        <v>73440.56684198836</v>
      </c>
      <c r="AQ216" s="10">
        <v>80839.17</v>
      </c>
      <c r="AR216" s="10">
        <v>-15634.32</v>
      </c>
      <c r="AS216" s="34"/>
      <c r="AT216" s="116">
        <f t="shared" si="67"/>
        <v>138645.41684198834</v>
      </c>
      <c r="AU216" s="116"/>
      <c r="AV216" s="116"/>
      <c r="AW216" s="116"/>
      <c r="AX216" s="116">
        <f>AT216+AU216-AV216-AW216</f>
        <v>138645.41684198834</v>
      </c>
      <c r="AY216" s="116">
        <v>40097.89</v>
      </c>
      <c r="AZ216" s="172">
        <f t="shared" si="69"/>
        <v>98547.52684198834</v>
      </c>
      <c r="BA216" s="130">
        <v>142671.26</v>
      </c>
    </row>
    <row r="217" spans="1:53" ht="12.75">
      <c r="A217" s="1">
        <v>205</v>
      </c>
      <c r="B217" s="84" t="s">
        <v>222</v>
      </c>
      <c r="C217" s="1">
        <v>2640.6</v>
      </c>
      <c r="D217" s="1">
        <v>0</v>
      </c>
      <c r="E217" s="7">
        <f t="shared" si="65"/>
        <v>2640.6</v>
      </c>
      <c r="F217" s="5">
        <v>2.9</v>
      </c>
      <c r="G217" s="5">
        <v>7.65</v>
      </c>
      <c r="H217" s="5">
        <f t="shared" si="70"/>
        <v>10.55</v>
      </c>
      <c r="I217" s="28">
        <f t="shared" si="71"/>
        <v>167149.98</v>
      </c>
      <c r="J217" s="5">
        <f t="shared" si="72"/>
        <v>3.101611830899999</v>
      </c>
      <c r="K217" s="5">
        <f t="shared" si="73"/>
        <v>8.181838105649998</v>
      </c>
      <c r="L217" s="27">
        <f t="shared" si="74"/>
        <v>11.283449936549998</v>
      </c>
      <c r="M217" s="61">
        <f t="shared" si="75"/>
        <v>178770.46741472353</v>
      </c>
      <c r="N217" s="34">
        <f t="shared" si="76"/>
        <v>345920.4474147236</v>
      </c>
      <c r="O217" s="34">
        <v>168793.16</v>
      </c>
      <c r="P217" s="34"/>
      <c r="Q217" s="5">
        <f t="shared" si="77"/>
        <v>177127.28741472357</v>
      </c>
      <c r="R217" s="30">
        <f t="shared" si="78"/>
        <v>177127.28741472357</v>
      </c>
      <c r="S217" s="1">
        <v>18715.06</v>
      </c>
      <c r="T217" s="1">
        <v>26074.69</v>
      </c>
      <c r="U217" s="1">
        <v>16681.98</v>
      </c>
      <c r="V217" s="1">
        <v>23020.06</v>
      </c>
      <c r="W217" s="1">
        <v>18298.3</v>
      </c>
      <c r="X217" s="1">
        <v>23404.56</v>
      </c>
      <c r="Y217" s="1">
        <v>21733.79</v>
      </c>
      <c r="Z217" s="1">
        <v>37122.78</v>
      </c>
      <c r="AA217" s="1">
        <v>30309.89</v>
      </c>
      <c r="AB217" s="1">
        <v>5667.55</v>
      </c>
      <c r="AC217" s="165">
        <f t="shared" si="79"/>
        <v>221028.65999999997</v>
      </c>
      <c r="AD217" s="1">
        <v>6826.81</v>
      </c>
      <c r="AE217" s="1">
        <v>3189.88</v>
      </c>
      <c r="AF217" s="1">
        <v>7429.31</v>
      </c>
      <c r="AG217" s="1">
        <v>13063.8</v>
      </c>
      <c r="AH217" s="1">
        <v>10390.08</v>
      </c>
      <c r="AI217" s="1">
        <v>6411.11</v>
      </c>
      <c r="AJ217" s="6">
        <f t="shared" si="68"/>
        <v>268339.64999999997</v>
      </c>
      <c r="AK217" s="1"/>
      <c r="AL217" s="1"/>
      <c r="AM217" s="1"/>
      <c r="AN217" s="95">
        <v>59748</v>
      </c>
      <c r="AO217" s="6">
        <f t="shared" si="80"/>
        <v>328087.64999999997</v>
      </c>
      <c r="AP217" s="136">
        <f t="shared" si="52"/>
        <v>-150960.3625852764</v>
      </c>
      <c r="AQ217" s="110"/>
      <c r="AR217" s="110"/>
      <c r="AS217" s="111"/>
      <c r="AT217" s="111">
        <f t="shared" si="67"/>
        <v>-150960.3625852764</v>
      </c>
      <c r="AU217" s="121">
        <v>5471</v>
      </c>
      <c r="AV217" s="111"/>
      <c r="AW217" s="111"/>
      <c r="AX217" s="147">
        <f>AU217-AV217</f>
        <v>5471</v>
      </c>
      <c r="AY217" s="116">
        <v>1582.28</v>
      </c>
      <c r="AZ217" s="172">
        <f t="shared" si="69"/>
        <v>3888.7200000000003</v>
      </c>
      <c r="BA217" s="130">
        <v>123321.23</v>
      </c>
    </row>
    <row r="218" spans="1:53" ht="12.75">
      <c r="A218" s="1">
        <v>206</v>
      </c>
      <c r="B218" s="84" t="s">
        <v>223</v>
      </c>
      <c r="C218" s="1">
        <v>2649.2</v>
      </c>
      <c r="D218" s="2">
        <v>801.1</v>
      </c>
      <c r="E218" s="7">
        <f t="shared" si="65"/>
        <v>3450.2999999999997</v>
      </c>
      <c r="F218" s="5">
        <v>2.9</v>
      </c>
      <c r="G218" s="5">
        <v>7.09</v>
      </c>
      <c r="H218" s="5">
        <f t="shared" si="70"/>
        <v>9.99</v>
      </c>
      <c r="I218" s="28">
        <f t="shared" si="71"/>
        <v>206810.98199999996</v>
      </c>
      <c r="J218" s="5">
        <f t="shared" si="72"/>
        <v>3.101611830899999</v>
      </c>
      <c r="K218" s="5">
        <f t="shared" si="73"/>
        <v>7.582906165889998</v>
      </c>
      <c r="L218" s="27">
        <f t="shared" si="74"/>
        <v>10.684517996789998</v>
      </c>
      <c r="M218" s="61">
        <f t="shared" si="75"/>
        <v>221188.75466594717</v>
      </c>
      <c r="N218" s="34">
        <f t="shared" si="76"/>
        <v>427999.73666594713</v>
      </c>
      <c r="O218" s="34"/>
      <c r="P218" s="34"/>
      <c r="Q218" s="5">
        <f t="shared" si="77"/>
        <v>427999.73666594713</v>
      </c>
      <c r="R218" s="30">
        <f t="shared" si="78"/>
        <v>427999.73666594713</v>
      </c>
      <c r="S218" s="1">
        <v>18725.52</v>
      </c>
      <c r="T218" s="1">
        <v>15076.45</v>
      </c>
      <c r="U218" s="1">
        <v>244305.32</v>
      </c>
      <c r="V218" s="1">
        <v>15839</v>
      </c>
      <c r="W218" s="1">
        <v>34470.98</v>
      </c>
      <c r="X218" s="1">
        <v>15274.34</v>
      </c>
      <c r="Y218" s="1">
        <v>22773.26</v>
      </c>
      <c r="Z218" s="1">
        <v>21142.34</v>
      </c>
      <c r="AA218" s="1">
        <v>21112.88</v>
      </c>
      <c r="AB218" s="1">
        <v>9878.51</v>
      </c>
      <c r="AC218" s="165">
        <f t="shared" si="79"/>
        <v>418598.6000000001</v>
      </c>
      <c r="AD218" s="1">
        <v>7320.59</v>
      </c>
      <c r="AE218" s="1">
        <v>4164.15</v>
      </c>
      <c r="AF218" s="1">
        <v>11368.01</v>
      </c>
      <c r="AG218" s="1">
        <v>7843.92</v>
      </c>
      <c r="AH218" s="1">
        <v>11068.6</v>
      </c>
      <c r="AI218" s="1">
        <v>6971.79</v>
      </c>
      <c r="AJ218" s="6">
        <f t="shared" si="68"/>
        <v>467335.6600000001</v>
      </c>
      <c r="AK218" s="1"/>
      <c r="AL218" s="1"/>
      <c r="AM218" s="1"/>
      <c r="AN218" s="1"/>
      <c r="AO218" s="6">
        <f t="shared" si="80"/>
        <v>467335.6600000001</v>
      </c>
      <c r="AP218" s="91">
        <f aca="true" t="shared" si="81" ref="AP218:AP281">R218-AO218</f>
        <v>-39335.92333405296</v>
      </c>
      <c r="AQ218" s="10">
        <v>149465.46</v>
      </c>
      <c r="AR218" s="10">
        <v>107817.39</v>
      </c>
      <c r="AS218" s="34"/>
      <c r="AT218" s="34">
        <f t="shared" si="67"/>
        <v>217946.92666594702</v>
      </c>
      <c r="AU218" s="116"/>
      <c r="AV218" s="122">
        <v>49983.93</v>
      </c>
      <c r="AW218" s="116"/>
      <c r="AX218" s="116">
        <f>AT218+AU218-AV218-AW218</f>
        <v>167962.99666594702</v>
      </c>
      <c r="AY218" s="116">
        <v>48576.88</v>
      </c>
      <c r="AZ218" s="172">
        <f t="shared" si="69"/>
        <v>119386.11666594702</v>
      </c>
      <c r="BA218" s="130">
        <v>119518.74</v>
      </c>
    </row>
    <row r="219" spans="1:53" ht="12.75">
      <c r="A219" s="1">
        <v>207</v>
      </c>
      <c r="B219" s="84" t="s">
        <v>224</v>
      </c>
      <c r="C219" s="1">
        <v>3137.8</v>
      </c>
      <c r="D219" s="1">
        <v>308.2</v>
      </c>
      <c r="E219" s="7">
        <f t="shared" si="65"/>
        <v>3446</v>
      </c>
      <c r="F219" s="5">
        <v>2.9</v>
      </c>
      <c r="G219" s="5">
        <v>7.26</v>
      </c>
      <c r="H219" s="5">
        <f t="shared" si="70"/>
        <v>10.16</v>
      </c>
      <c r="I219" s="28">
        <f t="shared" si="71"/>
        <v>210068.16</v>
      </c>
      <c r="J219" s="5">
        <f t="shared" si="72"/>
        <v>3.101611830899999</v>
      </c>
      <c r="K219" s="5">
        <f t="shared" si="73"/>
        <v>7.764724790459999</v>
      </c>
      <c r="L219" s="27">
        <f t="shared" si="74"/>
        <v>10.866336621359999</v>
      </c>
      <c r="M219" s="61">
        <f t="shared" si="75"/>
        <v>224672.37598323933</v>
      </c>
      <c r="N219" s="34">
        <f t="shared" si="76"/>
        <v>434740.5359832393</v>
      </c>
      <c r="O219" s="34"/>
      <c r="P219" s="34"/>
      <c r="Q219" s="5">
        <f t="shared" si="77"/>
        <v>434740.5359832393</v>
      </c>
      <c r="R219" s="30">
        <f t="shared" si="78"/>
        <v>434740.5359832393</v>
      </c>
      <c r="S219" s="1">
        <v>30651.96</v>
      </c>
      <c r="T219" s="1">
        <v>15479.71</v>
      </c>
      <c r="U219" s="1">
        <v>18594.58</v>
      </c>
      <c r="V219" s="1">
        <v>15068.17</v>
      </c>
      <c r="W219" s="1">
        <v>14513.01</v>
      </c>
      <c r="X219" s="1">
        <v>22955.76</v>
      </c>
      <c r="Y219" s="1">
        <v>18094.54</v>
      </c>
      <c r="Z219" s="1">
        <v>19503.88</v>
      </c>
      <c r="AA219" s="1">
        <v>20391.66</v>
      </c>
      <c r="AB219" s="1">
        <v>10461.96</v>
      </c>
      <c r="AC219" s="165">
        <f t="shared" si="79"/>
        <v>185715.22999999998</v>
      </c>
      <c r="AD219" s="1">
        <v>6065.86</v>
      </c>
      <c r="AE219" s="1">
        <v>4160.77</v>
      </c>
      <c r="AF219" s="1">
        <v>12172.58</v>
      </c>
      <c r="AG219" s="1">
        <v>17559.3</v>
      </c>
      <c r="AH219" s="1">
        <v>11984.16</v>
      </c>
      <c r="AI219" s="1">
        <v>14572.35</v>
      </c>
      <c r="AJ219" s="6">
        <f t="shared" si="68"/>
        <v>252230.24999999994</v>
      </c>
      <c r="AK219" s="1"/>
      <c r="AL219" s="1"/>
      <c r="AM219" s="1"/>
      <c r="AN219" s="1">
        <v>53498.44</v>
      </c>
      <c r="AO219" s="6">
        <f t="shared" si="80"/>
        <v>305728.68999999994</v>
      </c>
      <c r="AP219" s="91">
        <f t="shared" si="81"/>
        <v>129011.84598323936</v>
      </c>
      <c r="AQ219" s="10">
        <v>55565.76</v>
      </c>
      <c r="AR219" s="10">
        <v>83381.55</v>
      </c>
      <c r="AS219" s="34"/>
      <c r="AT219" s="116">
        <f t="shared" si="67"/>
        <v>267959.15598323935</v>
      </c>
      <c r="AU219" s="116">
        <v>3585</v>
      </c>
      <c r="AV219" s="144">
        <v>53498.44</v>
      </c>
      <c r="AW219" s="116">
        <v>1652</v>
      </c>
      <c r="AX219" s="116">
        <f>AT219+AU219-AV219-AW219</f>
        <v>216393.71598323935</v>
      </c>
      <c r="AY219" s="116">
        <v>62583.62</v>
      </c>
      <c r="AZ219" s="172">
        <f t="shared" si="69"/>
        <v>153810.09598323936</v>
      </c>
      <c r="BA219" s="130">
        <v>110872.32</v>
      </c>
    </row>
    <row r="220" spans="1:53" ht="12.75">
      <c r="A220" s="1">
        <v>208</v>
      </c>
      <c r="B220" s="84" t="s">
        <v>225</v>
      </c>
      <c r="C220" s="1">
        <v>2497.4</v>
      </c>
      <c r="D220" s="1">
        <v>0</v>
      </c>
      <c r="E220" s="7">
        <f t="shared" si="65"/>
        <v>2497.4</v>
      </c>
      <c r="F220" s="5">
        <v>2.9</v>
      </c>
      <c r="G220" s="5">
        <v>7.26</v>
      </c>
      <c r="H220" s="5">
        <f t="shared" si="70"/>
        <v>10.16</v>
      </c>
      <c r="I220" s="28">
        <f t="shared" si="71"/>
        <v>152241.50400000002</v>
      </c>
      <c r="J220" s="5">
        <f t="shared" si="72"/>
        <v>3.101611830899999</v>
      </c>
      <c r="K220" s="5">
        <f t="shared" si="73"/>
        <v>7.764724790459999</v>
      </c>
      <c r="L220" s="27">
        <f t="shared" si="74"/>
        <v>10.866336621359999</v>
      </c>
      <c r="M220" s="61">
        <f t="shared" si="75"/>
        <v>162825.53446910676</v>
      </c>
      <c r="N220" s="34">
        <f t="shared" si="76"/>
        <v>315067.0384691068</v>
      </c>
      <c r="O220" s="34"/>
      <c r="P220" s="34"/>
      <c r="Q220" s="5">
        <f t="shared" si="77"/>
        <v>315067.0384691068</v>
      </c>
      <c r="R220" s="30">
        <f t="shared" si="78"/>
        <v>315067.0384691068</v>
      </c>
      <c r="S220" s="1">
        <v>11842.54</v>
      </c>
      <c r="T220" s="1">
        <v>11797.69</v>
      </c>
      <c r="U220" s="1">
        <v>50200.49</v>
      </c>
      <c r="V220" s="1">
        <v>119493.03</v>
      </c>
      <c r="W220" s="1">
        <v>12800.7</v>
      </c>
      <c r="X220" s="1">
        <v>12725.6</v>
      </c>
      <c r="Y220" s="1">
        <v>11797.45</v>
      </c>
      <c r="Z220" s="1">
        <v>23220.47</v>
      </c>
      <c r="AA220" s="1">
        <v>19934.45</v>
      </c>
      <c r="AB220" s="1">
        <v>7276.22</v>
      </c>
      <c r="AC220" s="165">
        <f t="shared" si="79"/>
        <v>281088.64</v>
      </c>
      <c r="AD220" s="1">
        <v>3794.07</v>
      </c>
      <c r="AE220" s="1">
        <v>3013.84</v>
      </c>
      <c r="AF220" s="1">
        <v>6190.33</v>
      </c>
      <c r="AG220" s="1">
        <v>5607.12</v>
      </c>
      <c r="AH220" s="1">
        <v>14173.7</v>
      </c>
      <c r="AI220" s="1">
        <v>5973.41</v>
      </c>
      <c r="AJ220" s="6">
        <f t="shared" si="68"/>
        <v>319841.11000000004</v>
      </c>
      <c r="AK220" s="1"/>
      <c r="AL220" s="1"/>
      <c r="AM220" s="1"/>
      <c r="AN220" s="1"/>
      <c r="AO220" s="6">
        <f t="shared" si="80"/>
        <v>319841.11000000004</v>
      </c>
      <c r="AP220" s="91">
        <f t="shared" si="81"/>
        <v>-4774.07153089327</v>
      </c>
      <c r="AQ220" s="10">
        <v>48096.04</v>
      </c>
      <c r="AR220" s="10">
        <v>14363.9</v>
      </c>
      <c r="AS220" s="34"/>
      <c r="AT220" s="34">
        <f t="shared" si="67"/>
        <v>57685.86846910673</v>
      </c>
      <c r="AU220" s="116"/>
      <c r="AV220" s="34"/>
      <c r="AW220" s="116"/>
      <c r="AX220" s="116">
        <f>AT220+AU220-AV220-AW220</f>
        <v>57685.86846910673</v>
      </c>
      <c r="AY220" s="116">
        <v>16683.43</v>
      </c>
      <c r="AZ220" s="172">
        <f t="shared" si="69"/>
        <v>41002.43846910673</v>
      </c>
      <c r="BA220" s="130">
        <v>224353.67</v>
      </c>
    </row>
    <row r="221" spans="1:53" ht="12.75">
      <c r="A221" s="1">
        <v>209</v>
      </c>
      <c r="B221" s="84" t="s">
        <v>226</v>
      </c>
      <c r="C221" s="1">
        <v>1742.5</v>
      </c>
      <c r="D221" s="1">
        <v>52.5</v>
      </c>
      <c r="E221" s="7">
        <f t="shared" si="65"/>
        <v>1795</v>
      </c>
      <c r="F221" s="5">
        <v>2.9</v>
      </c>
      <c r="G221" s="5">
        <v>7.26</v>
      </c>
      <c r="H221" s="5">
        <f t="shared" si="70"/>
        <v>10.16</v>
      </c>
      <c r="I221" s="28">
        <f t="shared" si="71"/>
        <v>109423.20000000001</v>
      </c>
      <c r="J221" s="5">
        <f t="shared" si="72"/>
        <v>3.101611830899999</v>
      </c>
      <c r="K221" s="5">
        <f t="shared" si="73"/>
        <v>7.764724790459999</v>
      </c>
      <c r="L221" s="27">
        <f t="shared" si="74"/>
        <v>10.866336621359999</v>
      </c>
      <c r="M221" s="61">
        <f t="shared" si="75"/>
        <v>117030.4454120472</v>
      </c>
      <c r="N221" s="34">
        <f t="shared" si="76"/>
        <v>226453.64541204722</v>
      </c>
      <c r="O221" s="34"/>
      <c r="P221" s="34"/>
      <c r="Q221" s="5">
        <f t="shared" si="77"/>
        <v>226453.64541204722</v>
      </c>
      <c r="R221" s="30">
        <f t="shared" si="78"/>
        <v>226453.64541204722</v>
      </c>
      <c r="S221" s="1">
        <v>12691.79</v>
      </c>
      <c r="T221" s="1">
        <v>8305.89</v>
      </c>
      <c r="U221" s="1">
        <v>14170.47</v>
      </c>
      <c r="V221" s="1">
        <v>8219.3</v>
      </c>
      <c r="W221" s="1">
        <v>10523.4</v>
      </c>
      <c r="X221" s="1">
        <v>12264.3</v>
      </c>
      <c r="Y221" s="1">
        <v>8675.33</v>
      </c>
      <c r="Z221" s="1">
        <v>11892.61</v>
      </c>
      <c r="AA221" s="1">
        <v>21320.92</v>
      </c>
      <c r="AB221" s="1">
        <v>94306.19</v>
      </c>
      <c r="AC221" s="165">
        <f t="shared" si="79"/>
        <v>202370.2</v>
      </c>
      <c r="AD221" s="1">
        <v>21544.02</v>
      </c>
      <c r="AE221" s="1">
        <v>2717.35</v>
      </c>
      <c r="AF221" s="1">
        <v>6002.26</v>
      </c>
      <c r="AG221" s="1">
        <v>4203.91</v>
      </c>
      <c r="AH221" s="1">
        <v>12676.62</v>
      </c>
      <c r="AI221" s="1">
        <v>3712.82</v>
      </c>
      <c r="AJ221" s="6">
        <f t="shared" si="68"/>
        <v>253227.18000000002</v>
      </c>
      <c r="AK221" s="1"/>
      <c r="AL221" s="1"/>
      <c r="AM221" s="1"/>
      <c r="AN221" s="1">
        <v>24464.31</v>
      </c>
      <c r="AO221" s="6">
        <f t="shared" si="80"/>
        <v>277691.49000000005</v>
      </c>
      <c r="AP221" s="136">
        <f t="shared" si="81"/>
        <v>-51237.84458795283</v>
      </c>
      <c r="AQ221" s="110">
        <v>18625.61</v>
      </c>
      <c r="AR221" s="110">
        <v>7262.74</v>
      </c>
      <c r="AS221" s="111"/>
      <c r="AT221" s="111">
        <f t="shared" si="67"/>
        <v>-25349.49458795283</v>
      </c>
      <c r="AU221" s="121"/>
      <c r="AV221" s="111"/>
      <c r="AW221" s="111"/>
      <c r="AX221" s="111"/>
      <c r="AY221" s="116"/>
      <c r="AZ221" s="172">
        <f t="shared" si="69"/>
        <v>0</v>
      </c>
      <c r="BA221" s="130">
        <v>194785.46</v>
      </c>
    </row>
    <row r="222" spans="1:53" ht="12.75">
      <c r="A222" s="1">
        <v>210</v>
      </c>
      <c r="B222" s="84" t="s">
        <v>227</v>
      </c>
      <c r="C222" s="1">
        <v>2238.68</v>
      </c>
      <c r="D222" s="1">
        <v>0</v>
      </c>
      <c r="E222" s="7">
        <f t="shared" si="65"/>
        <v>2238.68</v>
      </c>
      <c r="F222" s="5">
        <v>2.9</v>
      </c>
      <c r="G222" s="5">
        <v>7.65</v>
      </c>
      <c r="H222" s="5">
        <f t="shared" si="70"/>
        <v>10.55</v>
      </c>
      <c r="I222" s="28">
        <f t="shared" si="71"/>
        <v>141708.44400000002</v>
      </c>
      <c r="J222" s="5">
        <f t="shared" si="72"/>
        <v>3.101611830899999</v>
      </c>
      <c r="K222" s="5">
        <f t="shared" si="73"/>
        <v>8.181838105649998</v>
      </c>
      <c r="L222" s="27">
        <f t="shared" si="74"/>
        <v>11.283449936549998</v>
      </c>
      <c r="M222" s="61">
        <f t="shared" si="75"/>
        <v>151560.20222373446</v>
      </c>
      <c r="N222" s="34">
        <f t="shared" si="76"/>
        <v>293268.6462237345</v>
      </c>
      <c r="O222" s="34"/>
      <c r="P222" s="34"/>
      <c r="Q222" s="5">
        <f t="shared" si="77"/>
        <v>293268.6462237345</v>
      </c>
      <c r="R222" s="30">
        <f t="shared" si="78"/>
        <v>293268.6462237345</v>
      </c>
      <c r="S222" s="1">
        <v>17595.18</v>
      </c>
      <c r="T222" s="1">
        <v>9510.19</v>
      </c>
      <c r="U222" s="1">
        <v>37938.23</v>
      </c>
      <c r="V222" s="1">
        <v>15883.44</v>
      </c>
      <c r="W222" s="1">
        <v>93172.43</v>
      </c>
      <c r="X222" s="1">
        <v>16596.26</v>
      </c>
      <c r="Y222" s="1">
        <v>17524.68</v>
      </c>
      <c r="Z222" s="1">
        <v>15296.29</v>
      </c>
      <c r="AA222" s="1">
        <v>12565.73</v>
      </c>
      <c r="AB222" s="1">
        <v>4685.19</v>
      </c>
      <c r="AC222" s="165">
        <f t="shared" si="79"/>
        <v>240767.62000000002</v>
      </c>
      <c r="AD222" s="1">
        <v>4272.51</v>
      </c>
      <c r="AE222" s="1">
        <v>2708.72</v>
      </c>
      <c r="AF222" s="1">
        <v>5563.63</v>
      </c>
      <c r="AG222" s="1">
        <v>8830.6</v>
      </c>
      <c r="AH222" s="1">
        <v>7670.7</v>
      </c>
      <c r="AI222" s="1">
        <v>159321.92</v>
      </c>
      <c r="AJ222" s="6">
        <f t="shared" si="68"/>
        <v>429135.70000000007</v>
      </c>
      <c r="AK222" s="1"/>
      <c r="AL222" s="1"/>
      <c r="AM222" s="1"/>
      <c r="AN222" s="1"/>
      <c r="AO222" s="6">
        <f t="shared" si="80"/>
        <v>429135.70000000007</v>
      </c>
      <c r="AP222" s="136">
        <f t="shared" si="81"/>
        <v>-135867.0537762656</v>
      </c>
      <c r="AQ222" s="110">
        <v>49708.36</v>
      </c>
      <c r="AR222" s="110">
        <v>23991.6</v>
      </c>
      <c r="AS222" s="111"/>
      <c r="AT222" s="111">
        <f t="shared" si="67"/>
        <v>-62167.09377626559</v>
      </c>
      <c r="AU222" s="121"/>
      <c r="AV222" s="111"/>
      <c r="AW222" s="111"/>
      <c r="AX222" s="111"/>
      <c r="AY222" s="116"/>
      <c r="AZ222" s="172">
        <f t="shared" si="69"/>
        <v>0</v>
      </c>
      <c r="BA222" s="130">
        <v>81904.79</v>
      </c>
    </row>
    <row r="223" spans="1:53" ht="12.75">
      <c r="A223" s="1">
        <v>211</v>
      </c>
      <c r="B223" s="84" t="s">
        <v>228</v>
      </c>
      <c r="C223" s="1">
        <v>3484.8</v>
      </c>
      <c r="D223" s="1">
        <v>0</v>
      </c>
      <c r="E223" s="7">
        <f t="shared" si="65"/>
        <v>3484.8</v>
      </c>
      <c r="F223" s="5">
        <v>2.9</v>
      </c>
      <c r="G223" s="5">
        <v>7.46</v>
      </c>
      <c r="H223" s="5">
        <f t="shared" si="70"/>
        <v>10.36</v>
      </c>
      <c r="I223" s="28">
        <f t="shared" si="71"/>
        <v>216615.168</v>
      </c>
      <c r="J223" s="5">
        <f t="shared" si="72"/>
        <v>3.101611830899999</v>
      </c>
      <c r="K223" s="5">
        <f t="shared" si="73"/>
        <v>7.978629054659999</v>
      </c>
      <c r="L223" s="27">
        <f t="shared" si="74"/>
        <v>11.080240885559999</v>
      </c>
      <c r="M223" s="61">
        <f t="shared" si="75"/>
        <v>231674.5406279969</v>
      </c>
      <c r="N223" s="34">
        <f t="shared" si="76"/>
        <v>448289.7086279969</v>
      </c>
      <c r="O223" s="34"/>
      <c r="P223" s="34"/>
      <c r="Q223" s="5">
        <f t="shared" si="77"/>
        <v>448289.7086279969</v>
      </c>
      <c r="R223" s="30">
        <f t="shared" si="78"/>
        <v>448289.7086279969</v>
      </c>
      <c r="S223" s="1">
        <v>19003.3</v>
      </c>
      <c r="T223" s="1">
        <v>18716.14</v>
      </c>
      <c r="U223" s="1">
        <v>17521.37</v>
      </c>
      <c r="V223" s="1">
        <v>30804.2</v>
      </c>
      <c r="W223" s="1">
        <v>22524.27</v>
      </c>
      <c r="X223" s="1">
        <v>23818.57</v>
      </c>
      <c r="Y223" s="1">
        <v>22683.32</v>
      </c>
      <c r="Z223" s="1">
        <v>25762.69</v>
      </c>
      <c r="AA223" s="1">
        <v>18085.85</v>
      </c>
      <c r="AB223" s="1">
        <v>7759.41</v>
      </c>
      <c r="AC223" s="165">
        <f t="shared" si="79"/>
        <v>206679.12000000002</v>
      </c>
      <c r="AD223" s="1">
        <v>6799</v>
      </c>
      <c r="AE223" s="1">
        <v>4645.84</v>
      </c>
      <c r="AF223" s="1">
        <v>19754.91</v>
      </c>
      <c r="AG223" s="1">
        <v>15714.86</v>
      </c>
      <c r="AH223" s="1">
        <v>21929.88</v>
      </c>
      <c r="AI223" s="1">
        <v>16025.75</v>
      </c>
      <c r="AJ223" s="6">
        <f t="shared" si="68"/>
        <v>291549.36000000004</v>
      </c>
      <c r="AK223" s="1"/>
      <c r="AL223" s="1"/>
      <c r="AM223" s="1"/>
      <c r="AN223" s="1"/>
      <c r="AO223" s="6">
        <f t="shared" si="80"/>
        <v>291549.36000000004</v>
      </c>
      <c r="AP223" s="91">
        <f t="shared" si="81"/>
        <v>156740.34862799686</v>
      </c>
      <c r="AQ223" s="10">
        <v>-46085.87</v>
      </c>
      <c r="AR223" s="10">
        <v>75915.13</v>
      </c>
      <c r="AS223" s="34"/>
      <c r="AT223" s="116">
        <f t="shared" si="67"/>
        <v>186569.60862799687</v>
      </c>
      <c r="AU223" s="116">
        <v>1819</v>
      </c>
      <c r="AV223" s="144">
        <f>47484+450</f>
        <v>47934</v>
      </c>
      <c r="AW223" s="116">
        <v>1001</v>
      </c>
      <c r="AX223" s="116">
        <f>AT223+AU223-AV223-AW223</f>
        <v>139453.60862799687</v>
      </c>
      <c r="AY223" s="116">
        <v>40461.77</v>
      </c>
      <c r="AZ223" s="172">
        <f t="shared" si="69"/>
        <v>98991.83862799688</v>
      </c>
      <c r="BA223" s="130">
        <v>231048.75</v>
      </c>
    </row>
    <row r="224" spans="1:53" s="12" customFormat="1" ht="12.75">
      <c r="A224" s="10">
        <v>212</v>
      </c>
      <c r="B224" s="10" t="s">
        <v>229</v>
      </c>
      <c r="C224" s="10">
        <v>3047.5</v>
      </c>
      <c r="D224" s="10">
        <v>206.3</v>
      </c>
      <c r="E224" s="11">
        <f t="shared" si="65"/>
        <v>3253.8</v>
      </c>
      <c r="F224" s="34">
        <v>2.9</v>
      </c>
      <c r="G224" s="34">
        <v>7.46</v>
      </c>
      <c r="H224" s="34">
        <f t="shared" si="70"/>
        <v>10.36</v>
      </c>
      <c r="I224" s="34">
        <f t="shared" si="71"/>
        <v>202256.208</v>
      </c>
      <c r="J224" s="34">
        <f t="shared" si="72"/>
        <v>3.101611830899999</v>
      </c>
      <c r="K224" s="34">
        <f t="shared" si="73"/>
        <v>7.978629054659999</v>
      </c>
      <c r="L224" s="116">
        <f t="shared" si="74"/>
        <v>11.080240885559999</v>
      </c>
      <c r="M224" s="34">
        <f t="shared" si="75"/>
        <v>216317.32676061074</v>
      </c>
      <c r="N224" s="34">
        <f t="shared" si="76"/>
        <v>418573.5347606108</v>
      </c>
      <c r="O224" s="34"/>
      <c r="P224" s="34"/>
      <c r="Q224" s="34">
        <f t="shared" si="77"/>
        <v>418573.5347606108</v>
      </c>
      <c r="R224" s="34">
        <f t="shared" si="78"/>
        <v>418573.5347606108</v>
      </c>
      <c r="S224" s="10">
        <v>15589.19</v>
      </c>
      <c r="T224" s="10">
        <v>28859.15</v>
      </c>
      <c r="U224" s="10">
        <v>28507.38</v>
      </c>
      <c r="V224" s="10">
        <v>20418.46</v>
      </c>
      <c r="W224" s="10">
        <v>16091.43</v>
      </c>
      <c r="X224" s="10">
        <v>18587.09</v>
      </c>
      <c r="Y224" s="10">
        <v>23876.3</v>
      </c>
      <c r="Z224" s="10">
        <v>19843.39</v>
      </c>
      <c r="AA224" s="10">
        <v>30528.73</v>
      </c>
      <c r="AB224" s="10">
        <v>7516.15</v>
      </c>
      <c r="AC224" s="165">
        <f t="shared" si="79"/>
        <v>209817.26999999996</v>
      </c>
      <c r="AD224" s="10">
        <v>10166.35</v>
      </c>
      <c r="AE224" s="10">
        <v>22663.52</v>
      </c>
      <c r="AF224" s="10">
        <v>42395.46</v>
      </c>
      <c r="AG224" s="10">
        <v>15373.25</v>
      </c>
      <c r="AH224" s="10">
        <v>16338.3</v>
      </c>
      <c r="AI224" s="10">
        <v>10690.66</v>
      </c>
      <c r="AJ224" s="10">
        <f t="shared" si="68"/>
        <v>327444.80999999994</v>
      </c>
      <c r="AK224" s="10"/>
      <c r="AL224" s="10"/>
      <c r="AM224" s="10"/>
      <c r="AN224" s="10">
        <v>53498.44</v>
      </c>
      <c r="AO224" s="10">
        <f t="shared" si="80"/>
        <v>380943.24999999994</v>
      </c>
      <c r="AP224" s="18">
        <f t="shared" si="81"/>
        <v>37630.28476061084</v>
      </c>
      <c r="AQ224" s="10">
        <v>3251.22</v>
      </c>
      <c r="AR224" s="10">
        <v>98664.15</v>
      </c>
      <c r="AS224" s="34"/>
      <c r="AT224" s="116">
        <f t="shared" si="67"/>
        <v>139545.65476061084</v>
      </c>
      <c r="AU224" s="116">
        <v>5471</v>
      </c>
      <c r="AV224" s="116"/>
      <c r="AW224" s="116">
        <f>4098+1845+672</f>
        <v>6615</v>
      </c>
      <c r="AX224" s="116">
        <f>AT224+AU224-AV224-AW224</f>
        <v>138401.65476061084</v>
      </c>
      <c r="AY224" s="116">
        <v>40027.39</v>
      </c>
      <c r="AZ224" s="172">
        <f t="shared" si="69"/>
        <v>98374.26476061084</v>
      </c>
      <c r="BA224" s="149">
        <v>227164.11</v>
      </c>
    </row>
    <row r="225" spans="1:53" ht="12.75">
      <c r="A225" s="1">
        <v>213</v>
      </c>
      <c r="B225" s="84" t="s">
        <v>230</v>
      </c>
      <c r="C225" s="1">
        <v>4430.1</v>
      </c>
      <c r="D225" s="1">
        <v>198.9</v>
      </c>
      <c r="E225" s="7">
        <f t="shared" si="65"/>
        <v>4629</v>
      </c>
      <c r="F225" s="5">
        <v>2.9</v>
      </c>
      <c r="G225" s="5">
        <v>7.46</v>
      </c>
      <c r="H225" s="5">
        <f t="shared" si="70"/>
        <v>10.36</v>
      </c>
      <c r="I225" s="28">
        <f t="shared" si="71"/>
        <v>287738.63999999996</v>
      </c>
      <c r="J225" s="5">
        <f t="shared" si="72"/>
        <v>3.101611830899999</v>
      </c>
      <c r="K225" s="5">
        <f t="shared" si="73"/>
        <v>7.978629054659999</v>
      </c>
      <c r="L225" s="27">
        <f t="shared" si="74"/>
        <v>11.080240885559999</v>
      </c>
      <c r="M225" s="61">
        <f t="shared" si="75"/>
        <v>307742.6103555434</v>
      </c>
      <c r="N225" s="34">
        <f t="shared" si="76"/>
        <v>595481.2503555433</v>
      </c>
      <c r="O225" s="34">
        <v>13579.68</v>
      </c>
      <c r="P225" s="34">
        <v>141082.83</v>
      </c>
      <c r="Q225" s="5">
        <f t="shared" si="77"/>
        <v>581901.5703555433</v>
      </c>
      <c r="R225" s="30">
        <f t="shared" si="78"/>
        <v>722984.4003555432</v>
      </c>
      <c r="S225" s="1">
        <v>28349.53</v>
      </c>
      <c r="T225" s="1">
        <v>36106.73</v>
      </c>
      <c r="U225" s="1">
        <v>24386.01</v>
      </c>
      <c r="V225" s="1">
        <v>21815.22</v>
      </c>
      <c r="W225" s="1">
        <v>20457.96</v>
      </c>
      <c r="X225" s="1">
        <v>29703.45</v>
      </c>
      <c r="Y225" s="1">
        <v>35188.87</v>
      </c>
      <c r="Z225" s="1">
        <v>22121.64</v>
      </c>
      <c r="AA225" s="1">
        <v>37473.89</v>
      </c>
      <c r="AB225" s="1">
        <v>11661.11</v>
      </c>
      <c r="AC225" s="165">
        <f t="shared" si="79"/>
        <v>267264.41000000003</v>
      </c>
      <c r="AD225" s="1">
        <v>12314.58</v>
      </c>
      <c r="AE225" s="1">
        <v>5891.84</v>
      </c>
      <c r="AF225" s="1">
        <v>13400.5</v>
      </c>
      <c r="AG225" s="1">
        <v>16681.55</v>
      </c>
      <c r="AH225" s="1">
        <v>16731.69</v>
      </c>
      <c r="AI225" s="1">
        <v>14531.19</v>
      </c>
      <c r="AJ225" s="6">
        <f t="shared" si="68"/>
        <v>346815.76000000007</v>
      </c>
      <c r="AK225" s="1"/>
      <c r="AL225" s="1"/>
      <c r="AM225" s="1"/>
      <c r="AN225" s="95">
        <f>43534+80421.13</f>
        <v>123955.13</v>
      </c>
      <c r="AO225" s="6">
        <f t="shared" si="80"/>
        <v>470770.8900000001</v>
      </c>
      <c r="AP225" s="91">
        <f t="shared" si="81"/>
        <v>252213.51035554317</v>
      </c>
      <c r="AQ225" s="10"/>
      <c r="AR225" s="10"/>
      <c r="AS225" s="34"/>
      <c r="AT225" s="116">
        <f t="shared" si="67"/>
        <v>252213.51035554317</v>
      </c>
      <c r="AU225" s="116">
        <v>2231</v>
      </c>
      <c r="AV225" s="116"/>
      <c r="AW225" s="116"/>
      <c r="AX225" s="116">
        <f>AT225+AU225-AV225-AW225</f>
        <v>254444.51035554317</v>
      </c>
      <c r="AY225" s="116">
        <v>73588.35</v>
      </c>
      <c r="AZ225" s="172">
        <f t="shared" si="69"/>
        <v>180856.16035554316</v>
      </c>
      <c r="BA225" s="130">
        <v>277336.87</v>
      </c>
    </row>
    <row r="226" spans="1:53" ht="12.75">
      <c r="A226" s="1">
        <v>214</v>
      </c>
      <c r="B226" s="1" t="s">
        <v>231</v>
      </c>
      <c r="C226" s="1">
        <v>4384.5</v>
      </c>
      <c r="D226" s="1">
        <v>52.1</v>
      </c>
      <c r="E226" s="7">
        <f t="shared" si="65"/>
        <v>4436.6</v>
      </c>
      <c r="F226" s="5">
        <v>2.9</v>
      </c>
      <c r="G226" s="5">
        <v>7.46</v>
      </c>
      <c r="H226" s="5">
        <f t="shared" si="70"/>
        <v>10.36</v>
      </c>
      <c r="I226" s="28">
        <f t="shared" si="71"/>
        <v>275779.056</v>
      </c>
      <c r="J226" s="5">
        <f t="shared" si="72"/>
        <v>3.101611830899999</v>
      </c>
      <c r="K226" s="5">
        <f t="shared" si="73"/>
        <v>7.978629054659999</v>
      </c>
      <c r="L226" s="27">
        <f t="shared" si="74"/>
        <v>11.080240885559999</v>
      </c>
      <c r="M226" s="61">
        <f t="shared" si="75"/>
        <v>294951.58027725294</v>
      </c>
      <c r="N226" s="34">
        <f t="shared" si="76"/>
        <v>570730.6362772529</v>
      </c>
      <c r="O226" s="34"/>
      <c r="P226" s="34"/>
      <c r="Q226" s="5">
        <f t="shared" si="77"/>
        <v>570730.6362772529</v>
      </c>
      <c r="R226" s="30">
        <f t="shared" si="78"/>
        <v>570730.6362772529</v>
      </c>
      <c r="S226" s="1">
        <v>40242.07</v>
      </c>
      <c r="T226" s="1">
        <v>21967.32</v>
      </c>
      <c r="U226" s="1">
        <v>29364.52</v>
      </c>
      <c r="V226" s="1">
        <v>29070.45</v>
      </c>
      <c r="W226" s="1">
        <v>68531.85</v>
      </c>
      <c r="X226" s="1">
        <v>64520.85</v>
      </c>
      <c r="Y226" s="1">
        <v>41675.57</v>
      </c>
      <c r="Z226" s="1">
        <v>21969.19</v>
      </c>
      <c r="AA226" s="1">
        <v>57106.61</v>
      </c>
      <c r="AB226" s="1">
        <v>11970.15</v>
      </c>
      <c r="AC226" s="165">
        <f t="shared" si="79"/>
        <v>386418.58</v>
      </c>
      <c r="AD226" s="1">
        <v>0</v>
      </c>
      <c r="AE226" s="1">
        <v>16153.35</v>
      </c>
      <c r="AF226" s="1"/>
      <c r="AG226" s="1">
        <v>26342.34</v>
      </c>
      <c r="AH226" s="1">
        <v>0</v>
      </c>
      <c r="AI226" s="1">
        <v>28636.76</v>
      </c>
      <c r="AJ226" s="6">
        <f t="shared" si="68"/>
        <v>457551.03</v>
      </c>
      <c r="AK226" s="1"/>
      <c r="AL226" s="1"/>
      <c r="AM226" s="1"/>
      <c r="AN226" s="1"/>
      <c r="AO226" s="6">
        <f t="shared" si="80"/>
        <v>457551.03</v>
      </c>
      <c r="AP226" s="91">
        <f t="shared" si="81"/>
        <v>113179.6062772529</v>
      </c>
      <c r="AQ226" s="10">
        <v>-12967.73</v>
      </c>
      <c r="AR226" s="10">
        <v>7307.27</v>
      </c>
      <c r="AS226" s="34"/>
      <c r="AT226" s="116">
        <f t="shared" si="67"/>
        <v>107519.1462772529</v>
      </c>
      <c r="AU226" s="116"/>
      <c r="AV226" s="116"/>
      <c r="AW226" s="116">
        <f>5111+5031</f>
        <v>10142</v>
      </c>
      <c r="AX226" s="116">
        <f>AT226+AU226-AV226-AW226</f>
        <v>97377.1462772529</v>
      </c>
      <c r="AY226" s="116">
        <v>28162.62</v>
      </c>
      <c r="AZ226" s="172">
        <f t="shared" si="69"/>
        <v>69214.52627725291</v>
      </c>
      <c r="BA226" s="130">
        <v>182001.27</v>
      </c>
    </row>
    <row r="227" spans="1:53" ht="17.25" customHeight="1">
      <c r="A227" s="1">
        <v>215</v>
      </c>
      <c r="B227" s="1" t="s">
        <v>232</v>
      </c>
      <c r="C227" s="1">
        <v>4471.9</v>
      </c>
      <c r="D227" s="1">
        <v>95.8</v>
      </c>
      <c r="E227" s="7">
        <f t="shared" si="65"/>
        <v>4567.7</v>
      </c>
      <c r="F227" s="5">
        <v>2.9</v>
      </c>
      <c r="G227" s="5">
        <v>5.98</v>
      </c>
      <c r="H227" s="5">
        <f t="shared" si="70"/>
        <v>8.88</v>
      </c>
      <c r="I227" s="28">
        <f t="shared" si="71"/>
        <v>243367.05599999998</v>
      </c>
      <c r="J227" s="5">
        <f t="shared" si="72"/>
        <v>3.101611830899999</v>
      </c>
      <c r="K227" s="5">
        <f t="shared" si="73"/>
        <v>6.395737499579999</v>
      </c>
      <c r="L227" s="27">
        <f t="shared" si="74"/>
        <v>9.497349330479999</v>
      </c>
      <c r="M227" s="61">
        <f t="shared" si="75"/>
        <v>260286.25522100093</v>
      </c>
      <c r="N227" s="34">
        <f t="shared" si="76"/>
        <v>503653.3112210009</v>
      </c>
      <c r="O227" s="34"/>
      <c r="P227" s="34"/>
      <c r="Q227" s="5">
        <f t="shared" si="77"/>
        <v>503653.3112210009</v>
      </c>
      <c r="R227" s="30">
        <f t="shared" si="78"/>
        <v>503653.3112210009</v>
      </c>
      <c r="S227" s="1">
        <v>126064.96</v>
      </c>
      <c r="T227" s="1">
        <v>28083.81</v>
      </c>
      <c r="U227" s="1">
        <v>74209.84</v>
      </c>
      <c r="V227" s="1">
        <v>26317.21</v>
      </c>
      <c r="W227" s="1">
        <v>81600.93</v>
      </c>
      <c r="X227" s="1">
        <v>24551.49</v>
      </c>
      <c r="Y227" s="1">
        <v>72625.81</v>
      </c>
      <c r="Z227" s="1">
        <v>48234.36</v>
      </c>
      <c r="AA227" s="1">
        <v>24617.46</v>
      </c>
      <c r="AB227" s="1">
        <v>35216.75</v>
      </c>
      <c r="AC227" s="165">
        <f t="shared" si="79"/>
        <v>541522.62</v>
      </c>
      <c r="AD227" s="1">
        <v>0</v>
      </c>
      <c r="AE227" s="1">
        <v>18080.4</v>
      </c>
      <c r="AF227" s="1"/>
      <c r="AG227" s="1">
        <v>23988.8</v>
      </c>
      <c r="AH227" s="1">
        <v>0</v>
      </c>
      <c r="AI227" s="1">
        <v>23623.59</v>
      </c>
      <c r="AJ227" s="6">
        <f t="shared" si="68"/>
        <v>607215.41</v>
      </c>
      <c r="AK227" s="1"/>
      <c r="AL227" s="1"/>
      <c r="AM227" s="1"/>
      <c r="AN227" s="1"/>
      <c r="AO227" s="6">
        <f t="shared" si="80"/>
        <v>607215.41</v>
      </c>
      <c r="AP227" s="136">
        <f t="shared" si="81"/>
        <v>-103562.09877899912</v>
      </c>
      <c r="AQ227" s="110"/>
      <c r="AR227" s="110">
        <v>87802.42</v>
      </c>
      <c r="AS227" s="111"/>
      <c r="AT227" s="111">
        <f t="shared" si="67"/>
        <v>-15759.678778999121</v>
      </c>
      <c r="AU227" s="121"/>
      <c r="AV227" s="111"/>
      <c r="AW227" s="111"/>
      <c r="AX227" s="111"/>
      <c r="AY227" s="116"/>
      <c r="AZ227" s="172">
        <f t="shared" si="69"/>
        <v>0</v>
      </c>
      <c r="BA227" s="130">
        <v>297292.5</v>
      </c>
    </row>
    <row r="228" spans="1:53" ht="12.75">
      <c r="A228" s="1">
        <v>216</v>
      </c>
      <c r="B228" s="84" t="s">
        <v>233</v>
      </c>
      <c r="C228" s="1">
        <v>3182.9</v>
      </c>
      <c r="D228" s="1">
        <v>0</v>
      </c>
      <c r="E228" s="7">
        <f t="shared" si="65"/>
        <v>3182.9</v>
      </c>
      <c r="F228" s="5">
        <v>2.9</v>
      </c>
      <c r="G228" s="5">
        <v>7.35</v>
      </c>
      <c r="H228" s="5">
        <f t="shared" si="70"/>
        <v>10.25</v>
      </c>
      <c r="I228" s="28">
        <f t="shared" si="71"/>
        <v>195748.35</v>
      </c>
      <c r="J228" s="5">
        <f t="shared" si="72"/>
        <v>3.101611830899999</v>
      </c>
      <c r="K228" s="5">
        <f t="shared" si="73"/>
        <v>7.860981709349999</v>
      </c>
      <c r="L228" s="27">
        <f t="shared" si="74"/>
        <v>10.962593540249998</v>
      </c>
      <c r="M228" s="61">
        <f t="shared" si="75"/>
        <v>209357.03387557028</v>
      </c>
      <c r="N228" s="34">
        <f t="shared" si="76"/>
        <v>405105.38387557026</v>
      </c>
      <c r="O228" s="34">
        <v>52008.15</v>
      </c>
      <c r="P228" s="34">
        <v>66346.14</v>
      </c>
      <c r="Q228" s="5">
        <f t="shared" si="77"/>
        <v>353097.23387557024</v>
      </c>
      <c r="R228" s="30">
        <f t="shared" si="78"/>
        <v>419443.37387557025</v>
      </c>
      <c r="S228" s="1">
        <v>40234.43</v>
      </c>
      <c r="T228" s="1">
        <v>25188.48</v>
      </c>
      <c r="U228" s="1">
        <v>52709.97</v>
      </c>
      <c r="V228" s="1">
        <v>87058.71</v>
      </c>
      <c r="W228" s="1">
        <v>68035.66</v>
      </c>
      <c r="X228" s="1">
        <v>16796.48</v>
      </c>
      <c r="Y228" s="1">
        <v>39182.18</v>
      </c>
      <c r="Z228" s="1">
        <v>76196.51</v>
      </c>
      <c r="AA228" s="1">
        <v>21505.61</v>
      </c>
      <c r="AB228" s="1">
        <v>6060.31</v>
      </c>
      <c r="AC228" s="165">
        <f t="shared" si="79"/>
        <v>432968.33999999997</v>
      </c>
      <c r="AD228" s="1">
        <v>6093.74</v>
      </c>
      <c r="AE228" s="1">
        <v>5417.69</v>
      </c>
      <c r="AF228" s="1">
        <v>10280.31</v>
      </c>
      <c r="AG228" s="1">
        <v>14886.47</v>
      </c>
      <c r="AH228" s="1">
        <v>15487.53</v>
      </c>
      <c r="AI228" s="1">
        <v>6440.87</v>
      </c>
      <c r="AJ228" s="6">
        <f t="shared" si="68"/>
        <v>491574.94999999995</v>
      </c>
      <c r="AK228" s="1"/>
      <c r="AL228" s="1"/>
      <c r="AM228" s="1"/>
      <c r="AN228" s="1"/>
      <c r="AO228" s="6">
        <f t="shared" si="80"/>
        <v>491574.94999999995</v>
      </c>
      <c r="AP228" s="136">
        <f t="shared" si="81"/>
        <v>-72131.5761244297</v>
      </c>
      <c r="AQ228" s="110"/>
      <c r="AR228" s="110"/>
      <c r="AS228" s="111"/>
      <c r="AT228" s="111">
        <f t="shared" si="67"/>
        <v>-72131.5761244297</v>
      </c>
      <c r="AU228" s="121"/>
      <c r="AV228" s="111"/>
      <c r="AW228" s="111"/>
      <c r="AX228" s="111"/>
      <c r="AY228" s="116"/>
      <c r="AZ228" s="172">
        <f t="shared" si="69"/>
        <v>0</v>
      </c>
      <c r="BA228" s="130">
        <v>119969.45</v>
      </c>
    </row>
    <row r="229" spans="1:53" ht="12.75">
      <c r="A229" s="1">
        <v>217</v>
      </c>
      <c r="B229" s="84" t="s">
        <v>235</v>
      </c>
      <c r="C229" s="1">
        <v>280.3</v>
      </c>
      <c r="D229" s="1">
        <v>0</v>
      </c>
      <c r="E229" s="7">
        <f t="shared" si="65"/>
        <v>280.3</v>
      </c>
      <c r="F229" s="5">
        <v>2.9</v>
      </c>
      <c r="G229" s="5">
        <v>6.16</v>
      </c>
      <c r="H229" s="5">
        <f t="shared" si="70"/>
        <v>9.06</v>
      </c>
      <c r="I229" s="28">
        <f t="shared" si="71"/>
        <v>15237.108</v>
      </c>
      <c r="J229" s="5">
        <f t="shared" si="72"/>
        <v>3.101611830899999</v>
      </c>
      <c r="K229" s="5">
        <f t="shared" si="73"/>
        <v>6.588251337359999</v>
      </c>
      <c r="L229" s="27">
        <f t="shared" si="74"/>
        <v>9.689863168259999</v>
      </c>
      <c r="M229" s="61">
        <f t="shared" si="75"/>
        <v>16296.411876379667</v>
      </c>
      <c r="N229" s="34">
        <f t="shared" si="76"/>
        <v>31533.519876379665</v>
      </c>
      <c r="O229" s="34">
        <v>14776.1</v>
      </c>
      <c r="P229" s="34">
        <v>9096.03</v>
      </c>
      <c r="Q229" s="5">
        <f t="shared" si="77"/>
        <v>16757.419876379667</v>
      </c>
      <c r="R229" s="30">
        <f t="shared" si="78"/>
        <v>25853.449876379666</v>
      </c>
      <c r="S229" s="1">
        <v>1505.96</v>
      </c>
      <c r="T229" s="1">
        <v>1505.96</v>
      </c>
      <c r="U229" s="1">
        <v>1505.96</v>
      </c>
      <c r="V229" s="1">
        <v>1505.96</v>
      </c>
      <c r="W229" s="1">
        <v>1505.96</v>
      </c>
      <c r="X229" s="1">
        <v>3208.66</v>
      </c>
      <c r="Y229" s="1">
        <v>1586.17</v>
      </c>
      <c r="Z229" s="1">
        <v>1586.17</v>
      </c>
      <c r="AA229" s="1">
        <v>1586.17</v>
      </c>
      <c r="AB229" s="1">
        <v>831.77</v>
      </c>
      <c r="AC229" s="165">
        <f t="shared" si="79"/>
        <v>16328.74</v>
      </c>
      <c r="AD229" s="1">
        <v>18188.24</v>
      </c>
      <c r="AE229" s="1">
        <v>333.97</v>
      </c>
      <c r="AF229" s="1">
        <v>685.97</v>
      </c>
      <c r="AG229" s="1">
        <v>900.2</v>
      </c>
      <c r="AH229" s="1">
        <v>685.97</v>
      </c>
      <c r="AI229" s="1">
        <v>900.2</v>
      </c>
      <c r="AJ229" s="6">
        <f t="shared" si="68"/>
        <v>38023.29</v>
      </c>
      <c r="AK229" s="1"/>
      <c r="AL229" s="1"/>
      <c r="AM229" s="1"/>
      <c r="AN229" s="1"/>
      <c r="AO229" s="6">
        <f t="shared" si="80"/>
        <v>38023.29</v>
      </c>
      <c r="AP229" s="136">
        <f t="shared" si="81"/>
        <v>-12169.840123620335</v>
      </c>
      <c r="AQ229" s="110"/>
      <c r="AR229" s="110"/>
      <c r="AS229" s="111"/>
      <c r="AT229" s="111">
        <f t="shared" si="67"/>
        <v>-12169.840123620335</v>
      </c>
      <c r="AU229" s="121"/>
      <c r="AV229" s="111"/>
      <c r="AW229" s="111"/>
      <c r="AX229" s="111"/>
      <c r="AY229" s="116"/>
      <c r="AZ229" s="172">
        <f t="shared" si="69"/>
        <v>0</v>
      </c>
      <c r="BA229" s="130">
        <v>36459.3</v>
      </c>
    </row>
    <row r="230" spans="1:53" ht="12.75">
      <c r="A230" s="1">
        <v>218</v>
      </c>
      <c r="B230" s="84" t="s">
        <v>236</v>
      </c>
      <c r="C230" s="1">
        <v>4863.66</v>
      </c>
      <c r="D230" s="1">
        <v>0</v>
      </c>
      <c r="E230" s="7">
        <f t="shared" si="65"/>
        <v>4863.66</v>
      </c>
      <c r="F230" s="5">
        <v>2.9</v>
      </c>
      <c r="G230" s="5">
        <v>7.85</v>
      </c>
      <c r="H230" s="5">
        <f t="shared" si="70"/>
        <v>10.75</v>
      </c>
      <c r="I230" s="28">
        <f t="shared" si="71"/>
        <v>313706.07</v>
      </c>
      <c r="J230" s="5">
        <f t="shared" si="72"/>
        <v>3.101611830899999</v>
      </c>
      <c r="K230" s="5">
        <f t="shared" si="73"/>
        <v>8.395742369849998</v>
      </c>
      <c r="L230" s="27">
        <f t="shared" si="74"/>
        <v>11.497354200749998</v>
      </c>
      <c r="M230" s="61">
        <f t="shared" si="75"/>
        <v>335515.33039211837</v>
      </c>
      <c r="N230" s="34">
        <f t="shared" si="76"/>
        <v>649221.4003921184</v>
      </c>
      <c r="O230" s="34">
        <v>101743.48</v>
      </c>
      <c r="P230" s="34"/>
      <c r="Q230" s="5">
        <f t="shared" si="77"/>
        <v>547477.9203921184</v>
      </c>
      <c r="R230" s="30">
        <f t="shared" si="78"/>
        <v>547477.9203921184</v>
      </c>
      <c r="S230" s="1">
        <v>31203.05</v>
      </c>
      <c r="T230" s="1">
        <v>27375.27</v>
      </c>
      <c r="U230" s="1">
        <v>41598.29</v>
      </c>
      <c r="V230" s="1">
        <v>33572.03</v>
      </c>
      <c r="W230" s="1">
        <v>28040.15</v>
      </c>
      <c r="X230" s="1">
        <v>281998.89</v>
      </c>
      <c r="Y230" s="1">
        <v>225844.67</v>
      </c>
      <c r="Z230" s="1">
        <v>61069.61</v>
      </c>
      <c r="AA230" s="1">
        <v>24867.94</v>
      </c>
      <c r="AB230" s="1">
        <v>10306.63</v>
      </c>
      <c r="AC230" s="165">
        <f t="shared" si="79"/>
        <v>765876.53</v>
      </c>
      <c r="AD230" s="1">
        <v>11652.66</v>
      </c>
      <c r="AE230" s="1">
        <v>7146.84</v>
      </c>
      <c r="AF230" s="1">
        <v>27646.75</v>
      </c>
      <c r="AG230" s="1">
        <v>12081.96</v>
      </c>
      <c r="AH230" s="1">
        <v>21872.04</v>
      </c>
      <c r="AI230" s="1">
        <v>12214.02</v>
      </c>
      <c r="AJ230" s="6">
        <f t="shared" si="68"/>
        <v>858490.8</v>
      </c>
      <c r="AK230" s="1">
        <f>399+380+652+687+318+774+290+307+308+873+450+776+2335+2352+2698+759+932</f>
        <v>15290</v>
      </c>
      <c r="AL230" s="1"/>
      <c r="AM230" s="1"/>
      <c r="AN230" s="1"/>
      <c r="AO230" s="6">
        <f t="shared" si="80"/>
        <v>873780.8</v>
      </c>
      <c r="AP230" s="136">
        <f t="shared" si="81"/>
        <v>-326302.87960788165</v>
      </c>
      <c r="AQ230" s="110"/>
      <c r="AR230" s="110"/>
      <c r="AS230" s="111"/>
      <c r="AT230" s="111">
        <f t="shared" si="67"/>
        <v>-326302.87960788165</v>
      </c>
      <c r="AU230" s="121"/>
      <c r="AV230" s="111"/>
      <c r="AW230" s="111"/>
      <c r="AX230" s="111"/>
      <c r="AY230" s="116"/>
      <c r="AZ230" s="172">
        <f t="shared" si="69"/>
        <v>0</v>
      </c>
      <c r="BA230" s="130">
        <v>339353.37</v>
      </c>
    </row>
    <row r="231" spans="1:53" ht="12.75">
      <c r="A231" s="1">
        <v>219</v>
      </c>
      <c r="B231" s="1" t="s">
        <v>237</v>
      </c>
      <c r="C231" s="1">
        <v>839.2</v>
      </c>
      <c r="D231" s="1">
        <v>0</v>
      </c>
      <c r="E231" s="7">
        <f t="shared" si="65"/>
        <v>839.2</v>
      </c>
      <c r="F231" s="5">
        <v>2.9</v>
      </c>
      <c r="G231" s="5">
        <v>7.09</v>
      </c>
      <c r="H231" s="5">
        <f t="shared" si="70"/>
        <v>9.99</v>
      </c>
      <c r="I231" s="28">
        <f t="shared" si="71"/>
        <v>50301.648</v>
      </c>
      <c r="J231" s="5">
        <f t="shared" si="72"/>
        <v>3.101611830899999</v>
      </c>
      <c r="K231" s="5">
        <f t="shared" si="73"/>
        <v>7.582906165889998</v>
      </c>
      <c r="L231" s="27">
        <f t="shared" si="74"/>
        <v>10.684517996789998</v>
      </c>
      <c r="M231" s="61">
        <f t="shared" si="75"/>
        <v>53798.685017437005</v>
      </c>
      <c r="N231" s="34">
        <f t="shared" si="76"/>
        <v>104100.333017437</v>
      </c>
      <c r="O231" s="34"/>
      <c r="P231" s="34"/>
      <c r="Q231" s="5">
        <f t="shared" si="77"/>
        <v>104100.333017437</v>
      </c>
      <c r="R231" s="30">
        <f t="shared" si="78"/>
        <v>104100.333017437</v>
      </c>
      <c r="S231" s="1">
        <v>9799.09</v>
      </c>
      <c r="T231" s="1">
        <v>6487.32</v>
      </c>
      <c r="U231" s="1">
        <v>6249.45</v>
      </c>
      <c r="V231" s="1">
        <v>4481.25</v>
      </c>
      <c r="W231" s="1">
        <v>3924.79</v>
      </c>
      <c r="X231" s="1">
        <v>7294.06</v>
      </c>
      <c r="Y231" s="1">
        <v>3912.09</v>
      </c>
      <c r="Z231" s="1">
        <v>43033.95</v>
      </c>
      <c r="AA231" s="1">
        <v>3912.09</v>
      </c>
      <c r="AB231" s="1">
        <v>2037.12</v>
      </c>
      <c r="AC231" s="165">
        <f t="shared" si="79"/>
        <v>91131.20999999999</v>
      </c>
      <c r="AD231" s="1">
        <v>0</v>
      </c>
      <c r="AE231" s="1">
        <v>4327.9</v>
      </c>
      <c r="AF231" s="1"/>
      <c r="AG231" s="1">
        <v>8431.65</v>
      </c>
      <c r="AH231" s="1">
        <v>0</v>
      </c>
      <c r="AI231" s="1">
        <v>7406.5</v>
      </c>
      <c r="AJ231" s="6">
        <f t="shared" si="68"/>
        <v>111297.25999999998</v>
      </c>
      <c r="AK231" s="1">
        <v>2420</v>
      </c>
      <c r="AL231" s="1"/>
      <c r="AM231" s="1">
        <v>6464.1</v>
      </c>
      <c r="AN231" s="1"/>
      <c r="AO231" s="6">
        <f t="shared" si="80"/>
        <v>120181.35999999999</v>
      </c>
      <c r="AP231" s="136">
        <f t="shared" si="81"/>
        <v>-16081.02698256298</v>
      </c>
      <c r="AQ231" s="110">
        <v>22385.33</v>
      </c>
      <c r="AR231" s="110">
        <v>-12748.34</v>
      </c>
      <c r="AS231" s="111"/>
      <c r="AT231" s="111">
        <f t="shared" si="67"/>
        <v>-6444.036982562979</v>
      </c>
      <c r="AU231" s="121"/>
      <c r="AV231" s="111"/>
      <c r="AW231" s="111"/>
      <c r="AX231" s="111"/>
      <c r="AY231" s="116"/>
      <c r="AZ231" s="172">
        <f t="shared" si="69"/>
        <v>0</v>
      </c>
      <c r="BA231" s="130">
        <v>33686.33</v>
      </c>
    </row>
    <row r="232" spans="1:53" ht="12.75">
      <c r="A232" s="1">
        <v>220</v>
      </c>
      <c r="B232" s="1" t="s">
        <v>238</v>
      </c>
      <c r="C232" s="1">
        <v>497.3</v>
      </c>
      <c r="D232" s="1">
        <v>0</v>
      </c>
      <c r="E232" s="7">
        <f t="shared" si="65"/>
        <v>497.3</v>
      </c>
      <c r="F232" s="5">
        <v>2.9</v>
      </c>
      <c r="G232" s="5">
        <v>6.98</v>
      </c>
      <c r="H232" s="5">
        <f t="shared" si="70"/>
        <v>9.88</v>
      </c>
      <c r="I232" s="28">
        <f t="shared" si="71"/>
        <v>29479.944000000003</v>
      </c>
      <c r="J232" s="5">
        <f t="shared" si="72"/>
        <v>3.101611830899999</v>
      </c>
      <c r="K232" s="5">
        <f t="shared" si="73"/>
        <v>7.465258820579999</v>
      </c>
      <c r="L232" s="27">
        <f t="shared" si="74"/>
        <v>10.566870651479999</v>
      </c>
      <c r="M232" s="61">
        <f t="shared" si="75"/>
        <v>31529.42864988602</v>
      </c>
      <c r="N232" s="34">
        <f t="shared" si="76"/>
        <v>61009.37264988602</v>
      </c>
      <c r="O232" s="34"/>
      <c r="P232" s="34"/>
      <c r="Q232" s="5">
        <f t="shared" si="77"/>
        <v>61009.37264988602</v>
      </c>
      <c r="R232" s="30">
        <f t="shared" si="78"/>
        <v>61009.37264988602</v>
      </c>
      <c r="S232" s="1">
        <v>8926.33</v>
      </c>
      <c r="T232" s="1">
        <v>2421.41</v>
      </c>
      <c r="U232" s="1">
        <v>2575.24</v>
      </c>
      <c r="V232" s="1">
        <v>40280.65</v>
      </c>
      <c r="W232" s="1">
        <v>2067.1</v>
      </c>
      <c r="X232" s="1">
        <v>2067.1</v>
      </c>
      <c r="Y232" s="1">
        <v>2211.21</v>
      </c>
      <c r="Z232" s="1">
        <v>978.89</v>
      </c>
      <c r="AA232" s="1">
        <v>978.89</v>
      </c>
      <c r="AB232" s="1">
        <v>378.93</v>
      </c>
      <c r="AC232" s="165">
        <f t="shared" si="79"/>
        <v>62885.75</v>
      </c>
      <c r="AD232" s="1">
        <v>0</v>
      </c>
      <c r="AE232" s="1">
        <v>599.97</v>
      </c>
      <c r="AF232" s="1"/>
      <c r="AG232" s="1">
        <v>978.89</v>
      </c>
      <c r="AH232" s="1">
        <v>0</v>
      </c>
      <c r="AI232" s="1">
        <v>978.89</v>
      </c>
      <c r="AJ232" s="6">
        <f t="shared" si="68"/>
        <v>65443.5</v>
      </c>
      <c r="AK232" s="1"/>
      <c r="AL232" s="1"/>
      <c r="AM232" s="1"/>
      <c r="AN232" s="1"/>
      <c r="AO232" s="6">
        <f t="shared" si="80"/>
        <v>65443.5</v>
      </c>
      <c r="AP232" s="91">
        <f t="shared" si="81"/>
        <v>-4434.12735011398</v>
      </c>
      <c r="AQ232" s="10">
        <v>526.86</v>
      </c>
      <c r="AR232" s="10">
        <v>24264.32</v>
      </c>
      <c r="AS232" s="34"/>
      <c r="AT232" s="34">
        <f t="shared" si="67"/>
        <v>20357.05264988602</v>
      </c>
      <c r="AU232" s="116"/>
      <c r="AV232" s="34"/>
      <c r="AW232" s="116"/>
      <c r="AX232" s="146">
        <f>AT232+AU232-AV232-AW232</f>
        <v>20357.05264988602</v>
      </c>
      <c r="AY232" s="116">
        <v>5887.5</v>
      </c>
      <c r="AZ232" s="172">
        <f t="shared" si="69"/>
        <v>14469.55264988602</v>
      </c>
      <c r="BA232" s="130">
        <v>23533.51</v>
      </c>
    </row>
    <row r="233" spans="1:53" ht="16.5" customHeight="1">
      <c r="A233" s="1">
        <v>221</v>
      </c>
      <c r="B233" s="1" t="s">
        <v>239</v>
      </c>
      <c r="C233" s="1">
        <v>494.2</v>
      </c>
      <c r="D233" s="1">
        <v>0</v>
      </c>
      <c r="E233" s="7">
        <f t="shared" si="65"/>
        <v>494.2</v>
      </c>
      <c r="F233" s="5">
        <v>2.9</v>
      </c>
      <c r="G233" s="5">
        <v>3.29</v>
      </c>
      <c r="H233" s="5">
        <f t="shared" si="70"/>
        <v>6.1899999999999995</v>
      </c>
      <c r="I233" s="28">
        <f t="shared" si="71"/>
        <v>18354.587999999996</v>
      </c>
      <c r="J233" s="5">
        <f t="shared" si="72"/>
        <v>3.101611830899999</v>
      </c>
      <c r="K233" s="5">
        <f t="shared" si="73"/>
        <v>3.5187251460899995</v>
      </c>
      <c r="L233" s="27">
        <f t="shared" si="74"/>
        <v>6.620336976989998</v>
      </c>
      <c r="M233" s="61">
        <f t="shared" si="75"/>
        <v>19630.62320417074</v>
      </c>
      <c r="N233" s="34">
        <f t="shared" si="76"/>
        <v>37985.21120417074</v>
      </c>
      <c r="O233" s="34">
        <v>16724.84</v>
      </c>
      <c r="P233" s="34"/>
      <c r="Q233" s="5">
        <f t="shared" si="77"/>
        <v>21260.371204170737</v>
      </c>
      <c r="R233" s="30">
        <f t="shared" si="78"/>
        <v>21260.371204170737</v>
      </c>
      <c r="S233" s="1">
        <v>1200.53</v>
      </c>
      <c r="T233" s="1">
        <v>1085.51</v>
      </c>
      <c r="U233" s="1">
        <v>1085.51</v>
      </c>
      <c r="V233" s="1">
        <v>1085.51</v>
      </c>
      <c r="W233" s="1">
        <v>1085.51</v>
      </c>
      <c r="X233" s="1">
        <v>12890.16</v>
      </c>
      <c r="Y233" s="1">
        <v>1149.65</v>
      </c>
      <c r="Z233" s="1">
        <v>1149.65</v>
      </c>
      <c r="AA233" s="1">
        <v>1149.65</v>
      </c>
      <c r="AB233" s="1">
        <v>553.91</v>
      </c>
      <c r="AC233" s="165">
        <f t="shared" si="79"/>
        <v>22435.590000000004</v>
      </c>
      <c r="AD233" s="1">
        <v>0</v>
      </c>
      <c r="AE233" s="1">
        <v>3144.57</v>
      </c>
      <c r="AF233" s="1"/>
      <c r="AG233" s="1">
        <v>1629.64</v>
      </c>
      <c r="AH233" s="1">
        <v>0</v>
      </c>
      <c r="AI233" s="1">
        <v>3367.52</v>
      </c>
      <c r="AJ233" s="6">
        <f t="shared" si="68"/>
        <v>30577.320000000003</v>
      </c>
      <c r="AK233" s="1"/>
      <c r="AL233" s="1"/>
      <c r="AM233" s="1"/>
      <c r="AN233" s="1"/>
      <c r="AO233" s="6">
        <f t="shared" si="80"/>
        <v>30577.320000000003</v>
      </c>
      <c r="AP233" s="136">
        <f t="shared" si="81"/>
        <v>-9316.948795829267</v>
      </c>
      <c r="AQ233" s="110"/>
      <c r="AR233" s="110"/>
      <c r="AS233" s="111"/>
      <c r="AT233" s="111">
        <f t="shared" si="67"/>
        <v>-9316.948795829267</v>
      </c>
      <c r="AU233" s="133"/>
      <c r="AV233" s="111"/>
      <c r="AW233" s="111"/>
      <c r="AX233" s="111"/>
      <c r="AY233" s="134"/>
      <c r="AZ233" s="172">
        <f t="shared" si="69"/>
        <v>0</v>
      </c>
      <c r="BA233" s="127">
        <v>9404.54</v>
      </c>
    </row>
    <row r="234" spans="1:53" ht="14.25" customHeight="1">
      <c r="A234" s="1">
        <v>222</v>
      </c>
      <c r="B234" s="1" t="s">
        <v>241</v>
      </c>
      <c r="C234" s="1">
        <v>465.4</v>
      </c>
      <c r="D234" s="1">
        <v>0</v>
      </c>
      <c r="E234" s="7">
        <f t="shared" si="65"/>
        <v>465.4</v>
      </c>
      <c r="F234" s="5">
        <v>2.9</v>
      </c>
      <c r="G234" s="5">
        <v>3.29</v>
      </c>
      <c r="H234" s="5">
        <f t="shared" si="70"/>
        <v>6.1899999999999995</v>
      </c>
      <c r="I234" s="28">
        <f t="shared" si="71"/>
        <v>17284.956</v>
      </c>
      <c r="J234" s="5">
        <f t="shared" si="72"/>
        <v>3.101611830899999</v>
      </c>
      <c r="K234" s="5">
        <f t="shared" si="73"/>
        <v>3.5187251460899995</v>
      </c>
      <c r="L234" s="27">
        <f t="shared" si="74"/>
        <v>6.620336976989998</v>
      </c>
      <c r="M234" s="61">
        <f t="shared" si="75"/>
        <v>18486.628974546868</v>
      </c>
      <c r="N234" s="34">
        <f t="shared" si="76"/>
        <v>35771.584974546866</v>
      </c>
      <c r="O234" s="34">
        <v>64669.96</v>
      </c>
      <c r="P234" s="34"/>
      <c r="Q234" s="5">
        <f t="shared" si="77"/>
        <v>-28898.375025453133</v>
      </c>
      <c r="R234" s="30">
        <v>10276.03</v>
      </c>
      <c r="S234" s="1">
        <v>856.34</v>
      </c>
      <c r="T234" s="1">
        <v>856.34</v>
      </c>
      <c r="U234" s="1">
        <v>1249.9</v>
      </c>
      <c r="V234" s="1">
        <v>856.34</v>
      </c>
      <c r="W234" s="1">
        <v>856.34</v>
      </c>
      <c r="X234" s="1">
        <v>3935.55</v>
      </c>
      <c r="Y234" s="1">
        <v>916.84</v>
      </c>
      <c r="Z234" s="1">
        <v>1184.09</v>
      </c>
      <c r="AA234" s="1">
        <v>916.84</v>
      </c>
      <c r="AB234" s="1">
        <v>354.91</v>
      </c>
      <c r="AC234" s="165">
        <f t="shared" si="79"/>
        <v>11983.490000000002</v>
      </c>
      <c r="AD234" s="1">
        <v>0</v>
      </c>
      <c r="AE234" s="1">
        <v>561.93</v>
      </c>
      <c r="AF234" s="1"/>
      <c r="AG234" s="1">
        <v>1794.22</v>
      </c>
      <c r="AH234" s="1">
        <v>0</v>
      </c>
      <c r="AI234" s="1">
        <v>916.84</v>
      </c>
      <c r="AJ234" s="6">
        <f t="shared" si="68"/>
        <v>15256.480000000001</v>
      </c>
      <c r="AK234" s="1"/>
      <c r="AL234" s="1"/>
      <c r="AM234" s="1"/>
      <c r="AN234" s="1"/>
      <c r="AO234" s="6">
        <f t="shared" si="80"/>
        <v>15256.480000000001</v>
      </c>
      <c r="AP234" s="136">
        <f t="shared" si="81"/>
        <v>-4980.450000000001</v>
      </c>
      <c r="AQ234" s="110"/>
      <c r="AR234" s="110"/>
      <c r="AS234" s="111"/>
      <c r="AT234" s="111">
        <f t="shared" si="67"/>
        <v>-4980.450000000001</v>
      </c>
      <c r="AU234" s="121"/>
      <c r="AV234" s="111"/>
      <c r="AW234" s="111"/>
      <c r="AX234" s="111"/>
      <c r="AY234" s="116"/>
      <c r="AZ234" s="172">
        <f t="shared" si="69"/>
        <v>0</v>
      </c>
      <c r="BA234" s="130">
        <v>18486.41</v>
      </c>
    </row>
    <row r="235" spans="1:53" ht="12.75">
      <c r="A235" s="1">
        <v>223</v>
      </c>
      <c r="B235" s="1" t="s">
        <v>242</v>
      </c>
      <c r="C235" s="1">
        <v>781.2</v>
      </c>
      <c r="D235" s="1">
        <v>0</v>
      </c>
      <c r="E235" s="7">
        <f t="shared" si="65"/>
        <v>781.2</v>
      </c>
      <c r="F235" s="5">
        <v>2.9</v>
      </c>
      <c r="G235" s="5">
        <v>7.09</v>
      </c>
      <c r="H235" s="5">
        <f t="shared" si="70"/>
        <v>9.99</v>
      </c>
      <c r="I235" s="28">
        <f t="shared" si="71"/>
        <v>46825.128000000004</v>
      </c>
      <c r="J235" s="5">
        <f t="shared" si="72"/>
        <v>3.101611830899999</v>
      </c>
      <c r="K235" s="5">
        <f t="shared" si="73"/>
        <v>7.582906165889998</v>
      </c>
      <c r="L235" s="27">
        <f t="shared" si="74"/>
        <v>10.684517996789998</v>
      </c>
      <c r="M235" s="61">
        <f t="shared" si="75"/>
        <v>50080.47275455408</v>
      </c>
      <c r="N235" s="34">
        <f t="shared" si="76"/>
        <v>96905.60075455409</v>
      </c>
      <c r="O235" s="34"/>
      <c r="P235" s="34"/>
      <c r="Q235" s="5">
        <f t="shared" si="77"/>
        <v>96905.60075455409</v>
      </c>
      <c r="R235" s="30">
        <f t="shared" si="78"/>
        <v>96905.60075455409</v>
      </c>
      <c r="S235" s="1">
        <v>3249.79</v>
      </c>
      <c r="T235" s="1">
        <v>3416.02</v>
      </c>
      <c r="U235" s="1">
        <v>3249.79</v>
      </c>
      <c r="V235" s="1">
        <v>3249.79</v>
      </c>
      <c r="W235" s="1">
        <v>3249.79</v>
      </c>
      <c r="X235" s="1">
        <v>3249.79</v>
      </c>
      <c r="Y235" s="1">
        <v>3929.03</v>
      </c>
      <c r="Z235" s="1">
        <v>3743.59</v>
      </c>
      <c r="AA235" s="1">
        <v>3476.34</v>
      </c>
      <c r="AB235" s="1">
        <v>1345.68</v>
      </c>
      <c r="AC235" s="165">
        <f t="shared" si="79"/>
        <v>32159.61</v>
      </c>
      <c r="AD235" s="1">
        <v>0</v>
      </c>
      <c r="AE235" s="1">
        <v>2130.66</v>
      </c>
      <c r="AF235" s="1"/>
      <c r="AG235" s="1">
        <v>4353.72</v>
      </c>
      <c r="AH235" s="1">
        <v>0</v>
      </c>
      <c r="AI235" s="1">
        <v>6424.86</v>
      </c>
      <c r="AJ235" s="6">
        <f t="shared" si="68"/>
        <v>45068.850000000006</v>
      </c>
      <c r="AK235" s="1"/>
      <c r="AL235" s="1"/>
      <c r="AM235" s="1"/>
      <c r="AN235" s="1"/>
      <c r="AO235" s="6">
        <f t="shared" si="80"/>
        <v>45068.850000000006</v>
      </c>
      <c r="AP235" s="91">
        <f t="shared" si="81"/>
        <v>51836.75075455409</v>
      </c>
      <c r="AQ235" s="10">
        <v>20907.63</v>
      </c>
      <c r="AR235" s="10">
        <v>-16104.09</v>
      </c>
      <c r="AS235" s="34"/>
      <c r="AT235" s="116">
        <f t="shared" si="67"/>
        <v>56640.290754554095</v>
      </c>
      <c r="AU235" s="116"/>
      <c r="AV235" s="116"/>
      <c r="AW235" s="116">
        <v>4555</v>
      </c>
      <c r="AX235" s="146">
        <f>AT235+AU235-AV235-AW235</f>
        <v>52085.290754554095</v>
      </c>
      <c r="AY235" s="116">
        <v>15063.68</v>
      </c>
      <c r="AZ235" s="172">
        <f t="shared" si="69"/>
        <v>37021.610754554094</v>
      </c>
      <c r="BA235" s="130">
        <v>123989.3</v>
      </c>
    </row>
    <row r="236" spans="1:53" ht="15" customHeight="1">
      <c r="A236" s="1">
        <v>224</v>
      </c>
      <c r="B236" s="1" t="s">
        <v>243</v>
      </c>
      <c r="C236" s="1">
        <v>453</v>
      </c>
      <c r="D236" s="1">
        <v>0</v>
      </c>
      <c r="E236" s="7">
        <f t="shared" si="65"/>
        <v>453</v>
      </c>
      <c r="F236" s="5">
        <v>2.9</v>
      </c>
      <c r="G236" s="5">
        <v>3.29</v>
      </c>
      <c r="H236" s="5">
        <f t="shared" si="70"/>
        <v>6.1899999999999995</v>
      </c>
      <c r="I236" s="28">
        <f t="shared" si="71"/>
        <v>16824.42</v>
      </c>
      <c r="J236" s="5">
        <f t="shared" si="72"/>
        <v>3.101611830899999</v>
      </c>
      <c r="K236" s="5">
        <f t="shared" si="73"/>
        <v>3.5187251460899995</v>
      </c>
      <c r="L236" s="27">
        <f t="shared" si="74"/>
        <v>6.620336976989998</v>
      </c>
      <c r="M236" s="61">
        <f t="shared" si="75"/>
        <v>17994.075903458815</v>
      </c>
      <c r="N236" s="34">
        <f t="shared" si="76"/>
        <v>34818.49590345881</v>
      </c>
      <c r="O236" s="34"/>
      <c r="P236" s="34"/>
      <c r="Q236" s="5">
        <f t="shared" si="77"/>
        <v>34818.49590345881</v>
      </c>
      <c r="R236" s="30">
        <f t="shared" si="78"/>
        <v>34818.49590345881</v>
      </c>
      <c r="S236" s="1">
        <v>1011.17</v>
      </c>
      <c r="T236" s="1">
        <v>1267.24</v>
      </c>
      <c r="U236" s="1">
        <v>1011.17</v>
      </c>
      <c r="V236" s="1">
        <v>1011.17</v>
      </c>
      <c r="W236" s="1">
        <v>1011.17</v>
      </c>
      <c r="X236" s="1">
        <v>1011.17</v>
      </c>
      <c r="Y236" s="1">
        <v>21374.24</v>
      </c>
      <c r="Z236" s="1">
        <v>1337.31</v>
      </c>
      <c r="AA236" s="1">
        <v>1070.06</v>
      </c>
      <c r="AB236" s="1">
        <v>523.1</v>
      </c>
      <c r="AC236" s="165">
        <f t="shared" si="79"/>
        <v>30627.800000000003</v>
      </c>
      <c r="AD236" s="1">
        <v>0</v>
      </c>
      <c r="AE236" s="1">
        <v>546.96</v>
      </c>
      <c r="AF236" s="1"/>
      <c r="AG236" s="1">
        <v>1947.44</v>
      </c>
      <c r="AH236" s="1">
        <v>0</v>
      </c>
      <c r="AI236" s="1">
        <v>1615.66</v>
      </c>
      <c r="AJ236" s="6">
        <f t="shared" si="68"/>
        <v>34737.86000000001</v>
      </c>
      <c r="AK236" s="1"/>
      <c r="AL236" s="1"/>
      <c r="AM236" s="1"/>
      <c r="AN236" s="1"/>
      <c r="AO236" s="6">
        <f t="shared" si="80"/>
        <v>34737.86000000001</v>
      </c>
      <c r="AP236" s="91">
        <f t="shared" si="81"/>
        <v>80.6359034588022</v>
      </c>
      <c r="AQ236" s="10">
        <v>5762.24</v>
      </c>
      <c r="AR236" s="10">
        <v>18066.49</v>
      </c>
      <c r="AS236" s="34"/>
      <c r="AT236" s="116">
        <f t="shared" si="67"/>
        <v>23909.365903458805</v>
      </c>
      <c r="AU236" s="116"/>
      <c r="AV236" s="116"/>
      <c r="AW236" s="116"/>
      <c r="AX236" s="146">
        <f>AT236+AU236-AV236-AW236</f>
        <v>23909.365903458805</v>
      </c>
      <c r="AY236" s="116">
        <v>6914.87</v>
      </c>
      <c r="AZ236" s="172">
        <f t="shared" si="69"/>
        <v>16994.495903458806</v>
      </c>
      <c r="BA236" s="130">
        <v>40379.12</v>
      </c>
    </row>
    <row r="237" spans="1:53" ht="15" customHeight="1">
      <c r="A237" s="1">
        <v>225</v>
      </c>
      <c r="B237" s="1" t="s">
        <v>244</v>
      </c>
      <c r="C237" s="1">
        <v>463.6</v>
      </c>
      <c r="D237" s="1">
        <v>0</v>
      </c>
      <c r="E237" s="7">
        <f t="shared" si="65"/>
        <v>463.6</v>
      </c>
      <c r="F237" s="5">
        <v>2.9</v>
      </c>
      <c r="G237" s="5">
        <v>3.29</v>
      </c>
      <c r="H237" s="5">
        <f t="shared" si="70"/>
        <v>6.1899999999999995</v>
      </c>
      <c r="I237" s="28">
        <f t="shared" si="71"/>
        <v>17218.104</v>
      </c>
      <c r="J237" s="5">
        <f t="shared" si="72"/>
        <v>3.101611830899999</v>
      </c>
      <c r="K237" s="5">
        <f t="shared" si="73"/>
        <v>3.5187251460899995</v>
      </c>
      <c r="L237" s="27">
        <f t="shared" si="74"/>
        <v>6.620336976989998</v>
      </c>
      <c r="M237" s="61">
        <f t="shared" si="75"/>
        <v>18415.12933519538</v>
      </c>
      <c r="N237" s="34">
        <f t="shared" si="76"/>
        <v>35633.23333519538</v>
      </c>
      <c r="O237" s="34">
        <v>89949</v>
      </c>
      <c r="P237" s="34"/>
      <c r="Q237" s="5">
        <f t="shared" si="77"/>
        <v>-54315.76666480462</v>
      </c>
      <c r="R237" s="30">
        <v>10236.29</v>
      </c>
      <c r="S237" s="1">
        <v>853.02</v>
      </c>
      <c r="T237" s="1">
        <v>853.02</v>
      </c>
      <c r="U237" s="1">
        <v>853.02</v>
      </c>
      <c r="V237" s="1">
        <v>853.02</v>
      </c>
      <c r="W237" s="1">
        <v>853.02</v>
      </c>
      <c r="X237" s="1">
        <v>1947.96</v>
      </c>
      <c r="Y237" s="1">
        <v>913.29</v>
      </c>
      <c r="Z237" s="1">
        <v>10733.63</v>
      </c>
      <c r="AA237" s="1">
        <v>913.29</v>
      </c>
      <c r="AB237" s="1">
        <v>353.53</v>
      </c>
      <c r="AC237" s="165">
        <f t="shared" si="79"/>
        <v>19126.8</v>
      </c>
      <c r="AD237" s="1">
        <v>0</v>
      </c>
      <c r="AE237" s="1">
        <v>559.76</v>
      </c>
      <c r="AF237" s="1"/>
      <c r="AG237" s="1">
        <v>1790.67</v>
      </c>
      <c r="AH237" s="1">
        <v>0</v>
      </c>
      <c r="AI237" s="1">
        <v>1458.89</v>
      </c>
      <c r="AJ237" s="6">
        <f t="shared" si="68"/>
        <v>22936.119999999995</v>
      </c>
      <c r="AK237" s="1"/>
      <c r="AL237" s="1"/>
      <c r="AM237" s="1"/>
      <c r="AN237" s="1"/>
      <c r="AO237" s="6">
        <f t="shared" si="80"/>
        <v>22936.119999999995</v>
      </c>
      <c r="AP237" s="136">
        <f t="shared" si="81"/>
        <v>-12699.829999999994</v>
      </c>
      <c r="AQ237" s="110"/>
      <c r="AR237" s="110"/>
      <c r="AS237" s="111"/>
      <c r="AT237" s="111">
        <f t="shared" si="67"/>
        <v>-12699.829999999994</v>
      </c>
      <c r="AU237" s="121">
        <v>4318</v>
      </c>
      <c r="AV237" s="111"/>
      <c r="AW237" s="111"/>
      <c r="AX237" s="111">
        <f>AU237-AV237</f>
        <v>4318</v>
      </c>
      <c r="AY237" s="116">
        <v>1248.82</v>
      </c>
      <c r="AZ237" s="172">
        <f t="shared" si="69"/>
        <v>3069.1800000000003</v>
      </c>
      <c r="BA237" s="130">
        <v>103583.29</v>
      </c>
    </row>
    <row r="238" spans="1:53" ht="12.75">
      <c r="A238" s="1">
        <v>226</v>
      </c>
      <c r="B238" s="1" t="s">
        <v>245</v>
      </c>
      <c r="C238" s="1">
        <v>906.8</v>
      </c>
      <c r="D238" s="1">
        <v>0</v>
      </c>
      <c r="E238" s="7">
        <f t="shared" si="65"/>
        <v>906.8</v>
      </c>
      <c r="F238" s="5">
        <v>2.9</v>
      </c>
      <c r="G238" s="5">
        <v>7.65</v>
      </c>
      <c r="H238" s="5">
        <f t="shared" si="70"/>
        <v>10.55</v>
      </c>
      <c r="I238" s="28">
        <f t="shared" si="71"/>
        <v>57400.44</v>
      </c>
      <c r="J238" s="5">
        <f t="shared" si="72"/>
        <v>3.101611830899999</v>
      </c>
      <c r="K238" s="5">
        <f t="shared" si="73"/>
        <v>8.181838105649998</v>
      </c>
      <c r="L238" s="27">
        <f t="shared" si="74"/>
        <v>11.283449936549998</v>
      </c>
      <c r="M238" s="61">
        <f t="shared" si="75"/>
        <v>61390.99441478122</v>
      </c>
      <c r="N238" s="34">
        <f t="shared" si="76"/>
        <v>118791.43441478122</v>
      </c>
      <c r="O238" s="34"/>
      <c r="P238" s="34"/>
      <c r="Q238" s="5">
        <f t="shared" si="77"/>
        <v>118791.43441478122</v>
      </c>
      <c r="R238" s="30">
        <f t="shared" si="78"/>
        <v>118791.43441478122</v>
      </c>
      <c r="S238" s="1">
        <v>3949.94</v>
      </c>
      <c r="T238" s="1">
        <v>4708.62</v>
      </c>
      <c r="U238" s="1">
        <v>5825.81</v>
      </c>
      <c r="V238" s="1">
        <v>5956.03</v>
      </c>
      <c r="W238" s="1">
        <v>3949.94</v>
      </c>
      <c r="X238" s="1">
        <v>5023.85</v>
      </c>
      <c r="Y238" s="1">
        <v>4738.93</v>
      </c>
      <c r="Z238" s="1">
        <v>4212.91</v>
      </c>
      <c r="AA238" s="1">
        <v>4212.91</v>
      </c>
      <c r="AB238" s="1">
        <v>1739.69</v>
      </c>
      <c r="AC238" s="165">
        <f t="shared" si="79"/>
        <v>44318.630000000005</v>
      </c>
      <c r="AD238" s="1">
        <v>0</v>
      </c>
      <c r="AE238" s="1">
        <v>4070.8</v>
      </c>
      <c r="AF238" s="1"/>
      <c r="AG238" s="1">
        <v>4212.91</v>
      </c>
      <c r="AH238" s="1">
        <v>0</v>
      </c>
      <c r="AI238" s="1">
        <v>4799.24</v>
      </c>
      <c r="AJ238" s="6">
        <f t="shared" si="68"/>
        <v>57401.58000000001</v>
      </c>
      <c r="AK238" s="1"/>
      <c r="AL238" s="1"/>
      <c r="AM238" s="1"/>
      <c r="AN238" s="1"/>
      <c r="AO238" s="6">
        <f t="shared" si="80"/>
        <v>57401.58000000001</v>
      </c>
      <c r="AP238" s="91">
        <f t="shared" si="81"/>
        <v>61389.85441478121</v>
      </c>
      <c r="AQ238" s="10"/>
      <c r="AR238" s="10"/>
      <c r="AS238" s="34"/>
      <c r="AT238" s="116">
        <f t="shared" si="67"/>
        <v>61389.85441478121</v>
      </c>
      <c r="AU238" s="116">
        <v>1288</v>
      </c>
      <c r="AV238" s="144">
        <f>19993.36+15827.99+26856.5</f>
        <v>62677.85</v>
      </c>
      <c r="AW238" s="116"/>
      <c r="AX238" s="116">
        <f>AT238+AU238-AV238-AW238</f>
        <v>0.004414781215018593</v>
      </c>
      <c r="AY238" s="116"/>
      <c r="AZ238" s="172">
        <f t="shared" si="69"/>
        <v>0.004414781215018593</v>
      </c>
      <c r="BA238" s="130">
        <v>23534.31</v>
      </c>
    </row>
    <row r="239" spans="1:53" ht="12.75">
      <c r="A239" s="1">
        <v>227</v>
      </c>
      <c r="B239" s="1" t="s">
        <v>246</v>
      </c>
      <c r="C239" s="1">
        <v>511.9</v>
      </c>
      <c r="D239" s="1">
        <v>0</v>
      </c>
      <c r="E239" s="7">
        <f t="shared" si="65"/>
        <v>511.9</v>
      </c>
      <c r="F239" s="5">
        <v>2.9</v>
      </c>
      <c r="G239" s="5">
        <v>7.65</v>
      </c>
      <c r="H239" s="5">
        <f t="shared" si="70"/>
        <v>10.55</v>
      </c>
      <c r="I239" s="28">
        <f t="shared" si="71"/>
        <v>32403.27</v>
      </c>
      <c r="J239" s="5">
        <f t="shared" si="72"/>
        <v>3.101611830899999</v>
      </c>
      <c r="K239" s="5">
        <f t="shared" si="73"/>
        <v>8.181838105649998</v>
      </c>
      <c r="L239" s="27">
        <f t="shared" si="74"/>
        <v>11.283449936549998</v>
      </c>
      <c r="M239" s="61">
        <f t="shared" si="75"/>
        <v>34655.98813511966</v>
      </c>
      <c r="N239" s="34">
        <f t="shared" si="76"/>
        <v>67059.25813511966</v>
      </c>
      <c r="O239" s="34">
        <v>1977.11</v>
      </c>
      <c r="P239" s="34"/>
      <c r="Q239" s="5">
        <f t="shared" si="77"/>
        <v>65082.148135119656</v>
      </c>
      <c r="R239" s="30">
        <f t="shared" si="78"/>
        <v>65082.148135119656</v>
      </c>
      <c r="S239" s="1">
        <v>18723.97</v>
      </c>
      <c r="T239" s="1">
        <v>3063.75</v>
      </c>
      <c r="U239" s="1">
        <v>14010.12</v>
      </c>
      <c r="V239" s="1">
        <v>6307.1</v>
      </c>
      <c r="W239" s="1">
        <v>2561.14</v>
      </c>
      <c r="X239" s="1">
        <v>4251.43</v>
      </c>
      <c r="Y239" s="1">
        <v>2892.24</v>
      </c>
      <c r="Z239" s="1">
        <v>1185.11</v>
      </c>
      <c r="AA239" s="1">
        <v>1185.11</v>
      </c>
      <c r="AB239" s="1">
        <v>45554.47</v>
      </c>
      <c r="AC239" s="165">
        <f t="shared" si="79"/>
        <v>99734.44</v>
      </c>
      <c r="AD239" s="1">
        <v>0</v>
      </c>
      <c r="AE239" s="1">
        <v>4429.61</v>
      </c>
      <c r="AF239" s="1"/>
      <c r="AG239" s="1">
        <v>1185.11</v>
      </c>
      <c r="AH239" s="1">
        <v>0</v>
      </c>
      <c r="AI239" s="1">
        <v>1185.11</v>
      </c>
      <c r="AJ239" s="6">
        <f t="shared" si="68"/>
        <v>106534.27</v>
      </c>
      <c r="AK239" s="1"/>
      <c r="AL239" s="1"/>
      <c r="AM239" s="1"/>
      <c r="AN239" s="1"/>
      <c r="AO239" s="6">
        <f t="shared" si="80"/>
        <v>106534.27</v>
      </c>
      <c r="AP239" s="136">
        <f t="shared" si="81"/>
        <v>-41452.12186488035</v>
      </c>
      <c r="AQ239" s="110"/>
      <c r="AR239" s="110"/>
      <c r="AS239" s="111"/>
      <c r="AT239" s="111">
        <f t="shared" si="67"/>
        <v>-41452.12186488035</v>
      </c>
      <c r="AU239" s="121">
        <v>3974</v>
      </c>
      <c r="AV239" s="111"/>
      <c r="AW239" s="111"/>
      <c r="AX239" s="147">
        <f>AU239-AV239</f>
        <v>3974</v>
      </c>
      <c r="AY239" s="116">
        <v>1149.33</v>
      </c>
      <c r="AZ239" s="172">
        <f t="shared" si="69"/>
        <v>2824.67</v>
      </c>
      <c r="BA239" s="130">
        <v>24051.13</v>
      </c>
    </row>
    <row r="240" spans="1:53" ht="12.75">
      <c r="A240" s="1">
        <v>228</v>
      </c>
      <c r="B240" s="84" t="s">
        <v>247</v>
      </c>
      <c r="C240" s="1">
        <v>1345.9</v>
      </c>
      <c r="D240" s="1">
        <v>0</v>
      </c>
      <c r="E240" s="7">
        <f t="shared" si="65"/>
        <v>1345.9</v>
      </c>
      <c r="F240" s="5">
        <v>2.9</v>
      </c>
      <c r="G240" s="5">
        <v>7.85</v>
      </c>
      <c r="H240" s="5">
        <f t="shared" si="70"/>
        <v>10.75</v>
      </c>
      <c r="I240" s="28">
        <f t="shared" si="71"/>
        <v>86810.55</v>
      </c>
      <c r="J240" s="5">
        <f t="shared" si="72"/>
        <v>3.101611830899999</v>
      </c>
      <c r="K240" s="5">
        <f t="shared" si="73"/>
        <v>8.395742369849998</v>
      </c>
      <c r="L240" s="27">
        <f t="shared" si="74"/>
        <v>11.497354200749998</v>
      </c>
      <c r="M240" s="61">
        <f t="shared" si="75"/>
        <v>92845.73411273654</v>
      </c>
      <c r="N240" s="34">
        <f t="shared" si="76"/>
        <v>179656.28411273652</v>
      </c>
      <c r="O240" s="34"/>
      <c r="P240" s="34"/>
      <c r="Q240" s="5">
        <f t="shared" si="77"/>
        <v>179656.28411273652</v>
      </c>
      <c r="R240" s="30">
        <f t="shared" si="78"/>
        <v>179656.28411273652</v>
      </c>
      <c r="S240" s="1">
        <v>9952.06</v>
      </c>
      <c r="T240" s="1">
        <v>7683.03</v>
      </c>
      <c r="U240" s="1">
        <v>6032.66</v>
      </c>
      <c r="V240" s="1">
        <v>5776.59</v>
      </c>
      <c r="W240" s="1">
        <v>6288.74</v>
      </c>
      <c r="X240" s="1">
        <v>6905.12</v>
      </c>
      <c r="Y240" s="1">
        <v>9157.6</v>
      </c>
      <c r="Z240" s="1">
        <v>7621.29</v>
      </c>
      <c r="AA240" s="1">
        <v>6166.91</v>
      </c>
      <c r="AB240" s="1">
        <v>3167.99</v>
      </c>
      <c r="AC240" s="165">
        <f t="shared" si="79"/>
        <v>68751.99</v>
      </c>
      <c r="AD240" s="1">
        <v>7469.85</v>
      </c>
      <c r="AE240" s="1">
        <v>1923.45</v>
      </c>
      <c r="AF240" s="1">
        <v>4625.69</v>
      </c>
      <c r="AG240" s="1">
        <v>3832.31</v>
      </c>
      <c r="AH240" s="1">
        <v>8321.09</v>
      </c>
      <c r="AI240" s="1">
        <v>2829.07</v>
      </c>
      <c r="AJ240" s="6">
        <f t="shared" si="68"/>
        <v>97753.45000000001</v>
      </c>
      <c r="AK240" s="1"/>
      <c r="AL240" s="1"/>
      <c r="AM240" s="1"/>
      <c r="AN240" s="1"/>
      <c r="AO240" s="6">
        <f t="shared" si="80"/>
        <v>97753.45000000001</v>
      </c>
      <c r="AP240" s="91">
        <f t="shared" si="81"/>
        <v>81902.83411273651</v>
      </c>
      <c r="AQ240" s="10">
        <v>16849.85</v>
      </c>
      <c r="AR240" s="10">
        <v>80307.77</v>
      </c>
      <c r="AS240" s="34"/>
      <c r="AT240" s="116">
        <f t="shared" si="67"/>
        <v>179060.4541127365</v>
      </c>
      <c r="AU240" s="116">
        <v>3974</v>
      </c>
      <c r="AV240" s="116">
        <f>901.75*4+450</f>
        <v>4057</v>
      </c>
      <c r="AW240" s="116"/>
      <c r="AX240" s="116">
        <f>AT240+AU240-AV240-AW240</f>
        <v>178977.4541127365</v>
      </c>
      <c r="AY240" s="116">
        <v>51892.53</v>
      </c>
      <c r="AZ240" s="172">
        <f t="shared" si="69"/>
        <v>127084.92411273651</v>
      </c>
      <c r="BA240" s="130">
        <v>310895.81</v>
      </c>
    </row>
    <row r="241" spans="1:53" ht="16.5" customHeight="1">
      <c r="A241" s="1">
        <v>229</v>
      </c>
      <c r="B241" s="1" t="s">
        <v>248</v>
      </c>
      <c r="C241" s="1">
        <v>959.9</v>
      </c>
      <c r="D241" s="1">
        <v>0</v>
      </c>
      <c r="E241" s="7">
        <f t="shared" si="65"/>
        <v>959.9</v>
      </c>
      <c r="F241" s="5">
        <v>2.9</v>
      </c>
      <c r="G241" s="5">
        <v>3.96</v>
      </c>
      <c r="H241" s="5">
        <f t="shared" si="70"/>
        <v>6.859999999999999</v>
      </c>
      <c r="I241" s="28">
        <f t="shared" si="71"/>
        <v>39509.484</v>
      </c>
      <c r="J241" s="5">
        <f t="shared" si="72"/>
        <v>3.101611830899999</v>
      </c>
      <c r="K241" s="5">
        <f t="shared" si="73"/>
        <v>4.235304431159999</v>
      </c>
      <c r="L241" s="27">
        <f t="shared" si="74"/>
        <v>7.336916262059999</v>
      </c>
      <c r="M241" s="61">
        <f t="shared" si="75"/>
        <v>42256.23551970836</v>
      </c>
      <c r="N241" s="34">
        <f t="shared" si="76"/>
        <v>81765.71951970836</v>
      </c>
      <c r="O241" s="34">
        <v>28825.36</v>
      </c>
      <c r="P241" s="34"/>
      <c r="Q241" s="5">
        <f t="shared" si="77"/>
        <v>52940.35951970836</v>
      </c>
      <c r="R241" s="30">
        <f t="shared" si="78"/>
        <v>52940.35951970836</v>
      </c>
      <c r="S241" s="1">
        <v>2394.91</v>
      </c>
      <c r="T241" s="1">
        <v>1943.87</v>
      </c>
      <c r="U241" s="1">
        <v>2199.94</v>
      </c>
      <c r="V241" s="1">
        <v>1943.87</v>
      </c>
      <c r="W241" s="1">
        <v>2199.94</v>
      </c>
      <c r="X241" s="1">
        <v>9207.95</v>
      </c>
      <c r="Y241" s="1">
        <v>17993.73</v>
      </c>
      <c r="Z241" s="1">
        <v>2791.18</v>
      </c>
      <c r="AA241" s="1">
        <v>2068.65</v>
      </c>
      <c r="AB241" s="1">
        <v>1782.1</v>
      </c>
      <c r="AC241" s="165">
        <f t="shared" si="79"/>
        <v>44526.14000000001</v>
      </c>
      <c r="AD241" s="1">
        <v>0</v>
      </c>
      <c r="AE241" s="1">
        <v>1159</v>
      </c>
      <c r="AF241" s="1"/>
      <c r="AG241" s="1">
        <v>4497.58</v>
      </c>
      <c r="AH241" s="1">
        <v>0</v>
      </c>
      <c r="AI241" s="1">
        <v>2573.15</v>
      </c>
      <c r="AJ241" s="6">
        <f t="shared" si="68"/>
        <v>52755.87000000001</v>
      </c>
      <c r="AK241" s="1"/>
      <c r="AL241" s="1"/>
      <c r="AM241" s="1"/>
      <c r="AN241" s="1"/>
      <c r="AO241" s="6">
        <f t="shared" si="80"/>
        <v>52755.87000000001</v>
      </c>
      <c r="AP241" s="91">
        <f t="shared" si="81"/>
        <v>184.48951970835333</v>
      </c>
      <c r="AQ241" s="10"/>
      <c r="AR241" s="10"/>
      <c r="AS241" s="34"/>
      <c r="AT241" s="116">
        <f t="shared" si="67"/>
        <v>184.48951970835333</v>
      </c>
      <c r="AU241" s="134">
        <v>4318</v>
      </c>
      <c r="AV241" s="116"/>
      <c r="AW241" s="116"/>
      <c r="AX241" s="116">
        <f>AT241+AU241-AV241-AW241</f>
        <v>4502.489519708353</v>
      </c>
      <c r="AY241" s="134">
        <v>1302.17</v>
      </c>
      <c r="AZ241" s="172">
        <f t="shared" si="69"/>
        <v>3200.3195197083533</v>
      </c>
      <c r="BA241" s="127">
        <v>17762.12</v>
      </c>
    </row>
    <row r="242" spans="1:53" ht="12.75">
      <c r="A242" s="1">
        <v>230</v>
      </c>
      <c r="B242" s="84" t="s">
        <v>249</v>
      </c>
      <c r="C242" s="1">
        <v>743.6</v>
      </c>
      <c r="D242" s="1">
        <v>0</v>
      </c>
      <c r="E242" s="7">
        <f t="shared" si="65"/>
        <v>743.6</v>
      </c>
      <c r="F242" s="5">
        <v>2.9</v>
      </c>
      <c r="G242" s="5">
        <v>7.85</v>
      </c>
      <c r="H242" s="5">
        <f t="shared" si="70"/>
        <v>10.75</v>
      </c>
      <c r="I242" s="28">
        <f t="shared" si="71"/>
        <v>47962.2</v>
      </c>
      <c r="J242" s="5">
        <f t="shared" si="72"/>
        <v>3.101611830899999</v>
      </c>
      <c r="K242" s="5">
        <f t="shared" si="73"/>
        <v>8.395742369849998</v>
      </c>
      <c r="L242" s="27">
        <f t="shared" si="74"/>
        <v>11.497354200749998</v>
      </c>
      <c r="M242" s="61">
        <f t="shared" si="75"/>
        <v>51296.59550206619</v>
      </c>
      <c r="N242" s="34">
        <f t="shared" si="76"/>
        <v>99258.79550206619</v>
      </c>
      <c r="O242" s="34"/>
      <c r="P242" s="34"/>
      <c r="Q242" s="5">
        <f t="shared" si="77"/>
        <v>99258.79550206619</v>
      </c>
      <c r="R242" s="30">
        <f t="shared" si="78"/>
        <v>99258.79550206619</v>
      </c>
      <c r="S242" s="1">
        <v>17554.58</v>
      </c>
      <c r="T242" s="1">
        <v>6865.9</v>
      </c>
      <c r="U242" s="1">
        <v>140980.76</v>
      </c>
      <c r="V242" s="1">
        <v>3783.18</v>
      </c>
      <c r="W242" s="1">
        <v>3783.18</v>
      </c>
      <c r="X242" s="1">
        <v>4399.56</v>
      </c>
      <c r="Y242" s="1">
        <v>3998.82</v>
      </c>
      <c r="Z242" s="1">
        <v>4327.51</v>
      </c>
      <c r="AA242" s="1">
        <v>3486.67</v>
      </c>
      <c r="AB242" s="1">
        <v>2587.09</v>
      </c>
      <c r="AC242" s="165">
        <f t="shared" si="79"/>
        <v>191767.25000000003</v>
      </c>
      <c r="AD242" s="1">
        <v>1806.82</v>
      </c>
      <c r="AE242" s="1">
        <v>4392.76</v>
      </c>
      <c r="AF242" s="1">
        <v>3131.99</v>
      </c>
      <c r="AG242" s="1">
        <v>1642.54</v>
      </c>
      <c r="AH242" s="1">
        <v>6827.39</v>
      </c>
      <c r="AI242" s="1">
        <v>2045.61</v>
      </c>
      <c r="AJ242" s="6">
        <f t="shared" si="68"/>
        <v>211614.36000000004</v>
      </c>
      <c r="AK242" s="1"/>
      <c r="AL242" s="1"/>
      <c r="AM242" s="1"/>
      <c r="AN242" s="1"/>
      <c r="AO242" s="6">
        <f t="shared" si="80"/>
        <v>211614.36000000004</v>
      </c>
      <c r="AP242" s="136">
        <f t="shared" si="81"/>
        <v>-112355.56449793385</v>
      </c>
      <c r="AQ242" s="110">
        <v>4760.03</v>
      </c>
      <c r="AR242" s="110">
        <v>27530.38</v>
      </c>
      <c r="AS242" s="111"/>
      <c r="AT242" s="111">
        <f t="shared" si="67"/>
        <v>-80065.15449793385</v>
      </c>
      <c r="AU242" s="121"/>
      <c r="AV242" s="111"/>
      <c r="AW242" s="111"/>
      <c r="AX242" s="111"/>
      <c r="AY242" s="116"/>
      <c r="AZ242" s="172">
        <f t="shared" si="69"/>
        <v>0</v>
      </c>
      <c r="BA242" s="130">
        <v>116102.72</v>
      </c>
    </row>
    <row r="243" spans="1:53" ht="12.75">
      <c r="A243" s="1">
        <v>231</v>
      </c>
      <c r="B243" s="84" t="s">
        <v>250</v>
      </c>
      <c r="C243" s="1">
        <v>3240.45</v>
      </c>
      <c r="D243" s="1">
        <v>71.5</v>
      </c>
      <c r="E243" s="7">
        <f t="shared" si="65"/>
        <v>3311.95</v>
      </c>
      <c r="F243" s="5">
        <v>2.9</v>
      </c>
      <c r="G243" s="5">
        <v>7.26</v>
      </c>
      <c r="H243" s="5">
        <f t="shared" si="70"/>
        <v>10.16</v>
      </c>
      <c r="I243" s="28">
        <f t="shared" si="71"/>
        <v>201896.47199999998</v>
      </c>
      <c r="J243" s="5">
        <f t="shared" si="72"/>
        <v>3.101611830899999</v>
      </c>
      <c r="K243" s="5">
        <f t="shared" si="73"/>
        <v>7.764724790459999</v>
      </c>
      <c r="L243" s="27">
        <f t="shared" si="74"/>
        <v>10.866336621359999</v>
      </c>
      <c r="M243" s="61">
        <f t="shared" si="75"/>
        <v>215932.58143867948</v>
      </c>
      <c r="N243" s="34">
        <f t="shared" si="76"/>
        <v>417829.05343867943</v>
      </c>
      <c r="O243" s="34"/>
      <c r="P243" s="34"/>
      <c r="Q243" s="5">
        <f t="shared" si="77"/>
        <v>417829.05343867943</v>
      </c>
      <c r="R243" s="30">
        <f t="shared" si="78"/>
        <v>417829.05343867943</v>
      </c>
      <c r="S243" s="1">
        <v>16779.6</v>
      </c>
      <c r="T243" s="1">
        <v>14696.93</v>
      </c>
      <c r="U243" s="1">
        <v>16067.18</v>
      </c>
      <c r="V243" s="1">
        <v>17950.01</v>
      </c>
      <c r="W243" s="1">
        <v>14707.54</v>
      </c>
      <c r="X243" s="1">
        <v>19523.75</v>
      </c>
      <c r="Y243" s="1">
        <v>33119.03</v>
      </c>
      <c r="Z243" s="1">
        <v>16193.92</v>
      </c>
      <c r="AA243" s="1">
        <v>20503.26</v>
      </c>
      <c r="AB243" s="1">
        <v>5886.8</v>
      </c>
      <c r="AC243" s="165">
        <f t="shared" si="79"/>
        <v>175428.02000000002</v>
      </c>
      <c r="AD243" s="1">
        <v>5037.74</v>
      </c>
      <c r="AE243" s="1">
        <v>5611.92</v>
      </c>
      <c r="AF243" s="1">
        <v>11845.96</v>
      </c>
      <c r="AG243" s="1">
        <v>17220.69</v>
      </c>
      <c r="AH243" s="1">
        <v>9851.14</v>
      </c>
      <c r="AI243" s="1">
        <v>14011.17</v>
      </c>
      <c r="AJ243" s="6">
        <f t="shared" si="68"/>
        <v>239006.64000000004</v>
      </c>
      <c r="AK243" s="1"/>
      <c r="AL243" s="1"/>
      <c r="AM243" s="1"/>
      <c r="AN243" s="1"/>
      <c r="AO243" s="6">
        <f t="shared" si="80"/>
        <v>239006.64000000004</v>
      </c>
      <c r="AP243" s="91">
        <f t="shared" si="81"/>
        <v>178822.4134386794</v>
      </c>
      <c r="AQ243" s="10">
        <v>74959.71</v>
      </c>
      <c r="AR243" s="10">
        <v>-187259.06</v>
      </c>
      <c r="AS243" s="34"/>
      <c r="AT243" s="116">
        <f t="shared" si="67"/>
        <v>66523.06343867938</v>
      </c>
      <c r="AU243" s="116"/>
      <c r="AV243" s="116"/>
      <c r="AW243" s="116"/>
      <c r="AX243" s="146">
        <f>AT243+AU243-AV243-AW243</f>
        <v>66523.06343867938</v>
      </c>
      <c r="AY243" s="116">
        <v>19239.25</v>
      </c>
      <c r="AZ243" s="172">
        <f t="shared" si="69"/>
        <v>47283.81343867938</v>
      </c>
      <c r="BA243" s="130">
        <v>187061.35</v>
      </c>
    </row>
    <row r="244" spans="1:53" ht="12.75">
      <c r="A244" s="1">
        <v>232</v>
      </c>
      <c r="B244" s="84" t="s">
        <v>251</v>
      </c>
      <c r="C244" s="1">
        <v>3584.2</v>
      </c>
      <c r="D244" s="1">
        <v>480.2</v>
      </c>
      <c r="E244" s="7">
        <f t="shared" si="65"/>
        <v>4064.3999999999996</v>
      </c>
      <c r="F244" s="5">
        <v>2.9</v>
      </c>
      <c r="G244" s="5">
        <v>7.85</v>
      </c>
      <c r="H244" s="5">
        <f t="shared" si="70"/>
        <v>10.75</v>
      </c>
      <c r="I244" s="28">
        <f t="shared" si="71"/>
        <v>262153.8</v>
      </c>
      <c r="J244" s="5">
        <f t="shared" si="72"/>
        <v>3.101611830899999</v>
      </c>
      <c r="K244" s="5">
        <f t="shared" si="73"/>
        <v>8.395742369849998</v>
      </c>
      <c r="L244" s="27">
        <f t="shared" si="74"/>
        <v>11.497354200749998</v>
      </c>
      <c r="M244" s="61">
        <f t="shared" si="75"/>
        <v>280379.0784811697</v>
      </c>
      <c r="N244" s="34">
        <f t="shared" si="76"/>
        <v>542532.8784811697</v>
      </c>
      <c r="O244" s="34">
        <v>316928.73</v>
      </c>
      <c r="P244" s="34"/>
      <c r="Q244" s="5">
        <f t="shared" si="77"/>
        <v>225604.14848116972</v>
      </c>
      <c r="R244" s="30">
        <f t="shared" si="78"/>
        <v>225604.14848116972</v>
      </c>
      <c r="S244" s="1">
        <v>38893.81</v>
      </c>
      <c r="T244" s="1">
        <v>35561.33</v>
      </c>
      <c r="U244" s="1">
        <v>22707.47</v>
      </c>
      <c r="V244" s="1">
        <v>19321.58</v>
      </c>
      <c r="W244" s="1">
        <v>21507.36</v>
      </c>
      <c r="X244" s="1">
        <v>29022.35</v>
      </c>
      <c r="Y244" s="1">
        <v>28095.28</v>
      </c>
      <c r="Z244" s="1">
        <v>27991.32</v>
      </c>
      <c r="AA244" s="1">
        <v>29285.62</v>
      </c>
      <c r="AB244" s="1">
        <v>10826.43</v>
      </c>
      <c r="AC244" s="165">
        <f t="shared" si="79"/>
        <v>263212.55</v>
      </c>
      <c r="AD244" s="1">
        <v>6178.04</v>
      </c>
      <c r="AE244" s="1">
        <v>5412.07</v>
      </c>
      <c r="AF244" s="1">
        <v>15240.97</v>
      </c>
      <c r="AG244" s="1">
        <v>9705.58</v>
      </c>
      <c r="AH244" s="1">
        <v>12080.94</v>
      </c>
      <c r="AI244" s="1">
        <v>11359.19</v>
      </c>
      <c r="AJ244" s="6">
        <f t="shared" si="68"/>
        <v>323189.33999999997</v>
      </c>
      <c r="AK244" s="1"/>
      <c r="AL244" s="1"/>
      <c r="AM244" s="1"/>
      <c r="AN244" s="95">
        <v>58090</v>
      </c>
      <c r="AO244" s="6">
        <f t="shared" si="80"/>
        <v>381279.33999999997</v>
      </c>
      <c r="AP244" s="136">
        <f t="shared" si="81"/>
        <v>-155675.19151883025</v>
      </c>
      <c r="AQ244" s="110"/>
      <c r="AR244" s="110"/>
      <c r="AS244" s="111"/>
      <c r="AT244" s="111">
        <f t="shared" si="67"/>
        <v>-155675.19151883025</v>
      </c>
      <c r="AU244" s="121">
        <v>3539</v>
      </c>
      <c r="AV244" s="111"/>
      <c r="AW244" s="111"/>
      <c r="AX244" s="111">
        <f>AU244-AV244</f>
        <v>3539</v>
      </c>
      <c r="AY244" s="116">
        <v>1023.52</v>
      </c>
      <c r="AZ244" s="172">
        <f t="shared" si="69"/>
        <v>2515.48</v>
      </c>
      <c r="BA244" s="130">
        <v>105329.73</v>
      </c>
    </row>
    <row r="245" spans="1:53" ht="12.75">
      <c r="A245" s="1">
        <v>233</v>
      </c>
      <c r="B245" s="84" t="s">
        <v>252</v>
      </c>
      <c r="C245" s="1">
        <v>4142.5</v>
      </c>
      <c r="D245" s="10">
        <v>485.5</v>
      </c>
      <c r="E245" s="7">
        <f t="shared" si="65"/>
        <v>4628</v>
      </c>
      <c r="F245" s="5">
        <v>2.9</v>
      </c>
      <c r="G245" s="5">
        <v>7.46</v>
      </c>
      <c r="H245" s="5">
        <f t="shared" si="70"/>
        <v>10.36</v>
      </c>
      <c r="I245" s="28">
        <f t="shared" si="71"/>
        <v>287676.48</v>
      </c>
      <c r="J245" s="5">
        <f t="shared" si="72"/>
        <v>3.101611830899999</v>
      </c>
      <c r="K245" s="5">
        <f t="shared" si="73"/>
        <v>7.978629054659999</v>
      </c>
      <c r="L245" s="27">
        <f t="shared" si="74"/>
        <v>11.080240885559999</v>
      </c>
      <c r="M245" s="61">
        <f t="shared" si="75"/>
        <v>307676.12891023</v>
      </c>
      <c r="N245" s="34">
        <f t="shared" si="76"/>
        <v>595352.60891023</v>
      </c>
      <c r="O245" s="34"/>
      <c r="P245" s="34"/>
      <c r="Q245" s="5">
        <f t="shared" si="77"/>
        <v>595352.60891023</v>
      </c>
      <c r="R245" s="30">
        <f t="shared" si="78"/>
        <v>595352.60891023</v>
      </c>
      <c r="S245" s="1">
        <v>33593.34</v>
      </c>
      <c r="T245" s="1">
        <v>39944.41</v>
      </c>
      <c r="U245" s="1">
        <v>23931.76</v>
      </c>
      <c r="V245" s="1">
        <v>21055.32</v>
      </c>
      <c r="W245" s="1">
        <v>20695.18</v>
      </c>
      <c r="X245" s="1">
        <v>24751.44</v>
      </c>
      <c r="Y245" s="1">
        <v>22089.4</v>
      </c>
      <c r="Z245" s="1">
        <v>45141.51</v>
      </c>
      <c r="AA245" s="1">
        <v>22116.77</v>
      </c>
      <c r="AB245" s="1">
        <v>14609.73</v>
      </c>
      <c r="AC245" s="165">
        <f t="shared" si="79"/>
        <v>267928.86</v>
      </c>
      <c r="AD245" s="1">
        <v>7028.94</v>
      </c>
      <c r="AE245" s="1">
        <v>6882.46</v>
      </c>
      <c r="AF245" s="1">
        <v>14891.48</v>
      </c>
      <c r="AG245" s="1">
        <v>17308.56</v>
      </c>
      <c r="AH245" s="1">
        <v>12389.39</v>
      </c>
      <c r="AI245" s="1">
        <v>28035.77</v>
      </c>
      <c r="AJ245" s="6">
        <f t="shared" si="68"/>
        <v>354465.46</v>
      </c>
      <c r="AK245" s="1"/>
      <c r="AL245" s="1"/>
      <c r="AM245" s="1"/>
      <c r="AN245" s="1"/>
      <c r="AO245" s="6">
        <f t="shared" si="80"/>
        <v>354465.46</v>
      </c>
      <c r="AP245" s="91">
        <f t="shared" si="81"/>
        <v>240887.14891022997</v>
      </c>
      <c r="AQ245" s="10"/>
      <c r="AR245" s="10">
        <v>59742.96</v>
      </c>
      <c r="AS245" s="34"/>
      <c r="AT245" s="116">
        <f t="shared" si="67"/>
        <v>300630.10891023</v>
      </c>
      <c r="AU245" s="116">
        <v>666</v>
      </c>
      <c r="AV245" s="116"/>
      <c r="AW245" s="116">
        <f>3913+2413+2540+2355+2598</f>
        <v>13819</v>
      </c>
      <c r="AX245" s="116">
        <f>AT245+AU245-AV245-AW245</f>
        <v>287477.10891023</v>
      </c>
      <c r="AY245" s="116">
        <v>85308.83</v>
      </c>
      <c r="AZ245" s="172">
        <f t="shared" si="69"/>
        <v>202168.27891022997</v>
      </c>
      <c r="BA245" s="130">
        <v>210019.82</v>
      </c>
    </row>
    <row r="246" spans="1:53" ht="12.75">
      <c r="A246" s="1">
        <v>234</v>
      </c>
      <c r="B246" s="84" t="s">
        <v>255</v>
      </c>
      <c r="C246" s="1">
        <v>479.6</v>
      </c>
      <c r="D246" s="1">
        <v>0</v>
      </c>
      <c r="E246" s="7">
        <f aca="true" t="shared" si="82" ref="E246:E266">C246+D246</f>
        <v>479.6</v>
      </c>
      <c r="F246" s="5">
        <v>2.9</v>
      </c>
      <c r="G246" s="5">
        <v>6.98</v>
      </c>
      <c r="H246" s="5">
        <f t="shared" si="70"/>
        <v>9.88</v>
      </c>
      <c r="I246" s="28">
        <f t="shared" si="71"/>
        <v>28430.688000000002</v>
      </c>
      <c r="J246" s="5">
        <f t="shared" si="72"/>
        <v>3.101611830899999</v>
      </c>
      <c r="K246" s="5">
        <f t="shared" si="73"/>
        <v>7.465258820579999</v>
      </c>
      <c r="L246" s="27">
        <f t="shared" si="74"/>
        <v>10.566870651479999</v>
      </c>
      <c r="M246" s="61">
        <f t="shared" si="75"/>
        <v>30407.22698669885</v>
      </c>
      <c r="N246" s="34">
        <f t="shared" si="76"/>
        <v>58837.91498669885</v>
      </c>
      <c r="O246" s="34"/>
      <c r="P246" s="34"/>
      <c r="Q246" s="5">
        <f t="shared" si="77"/>
        <v>58837.91498669885</v>
      </c>
      <c r="R246" s="30">
        <f t="shared" si="78"/>
        <v>58837.91498669885</v>
      </c>
      <c r="S246" s="1">
        <v>1995.14</v>
      </c>
      <c r="T246" s="1">
        <v>1995.14</v>
      </c>
      <c r="U246" s="1">
        <v>1995.14</v>
      </c>
      <c r="V246" s="1">
        <v>1995.14</v>
      </c>
      <c r="W246" s="1">
        <v>1995.14</v>
      </c>
      <c r="X246" s="1">
        <v>1995.14</v>
      </c>
      <c r="Y246" s="1">
        <v>13974.6</v>
      </c>
      <c r="Z246" s="1">
        <v>2941.6</v>
      </c>
      <c r="AA246" s="1">
        <v>4037</v>
      </c>
      <c r="AB246" s="1">
        <v>826.15</v>
      </c>
      <c r="AC246" s="165">
        <f t="shared" si="79"/>
        <v>33750.19</v>
      </c>
      <c r="AD246" s="1">
        <v>4129.13</v>
      </c>
      <c r="AE246" s="1">
        <v>579.08</v>
      </c>
      <c r="AF246" s="1">
        <v>1189.41</v>
      </c>
      <c r="AG246" s="1">
        <v>944.81</v>
      </c>
      <c r="AH246" s="1">
        <v>7172.09</v>
      </c>
      <c r="AI246" s="1">
        <v>944.81</v>
      </c>
      <c r="AJ246" s="6">
        <f t="shared" si="68"/>
        <v>48709.520000000004</v>
      </c>
      <c r="AK246" s="1"/>
      <c r="AL246" s="1"/>
      <c r="AM246" s="1"/>
      <c r="AN246" s="1"/>
      <c r="AO246" s="6">
        <f t="shared" si="80"/>
        <v>48709.520000000004</v>
      </c>
      <c r="AP246" s="91">
        <f t="shared" si="81"/>
        <v>10128.394986698848</v>
      </c>
      <c r="AQ246" s="10">
        <v>11173.36</v>
      </c>
      <c r="AR246" s="10">
        <v>-5027.1</v>
      </c>
      <c r="AS246" s="34"/>
      <c r="AT246" s="116">
        <f t="shared" si="67"/>
        <v>16274.654986698848</v>
      </c>
      <c r="AU246" s="116"/>
      <c r="AV246" s="116"/>
      <c r="AW246" s="116"/>
      <c r="AX246" s="116">
        <f>AT246+AU246-AV246-AW246</f>
        <v>16274.654986698848</v>
      </c>
      <c r="AY246" s="116">
        <v>4706.82</v>
      </c>
      <c r="AZ246" s="172">
        <f t="shared" si="69"/>
        <v>11567.834986698848</v>
      </c>
      <c r="BA246" s="130">
        <v>92446.15</v>
      </c>
    </row>
    <row r="247" spans="1:53" ht="12.75">
      <c r="A247" s="1">
        <v>235</v>
      </c>
      <c r="B247" s="1" t="s">
        <v>256</v>
      </c>
      <c r="C247" s="1">
        <v>1334.2</v>
      </c>
      <c r="D247" s="1">
        <v>482.3</v>
      </c>
      <c r="E247" s="7">
        <f t="shared" si="82"/>
        <v>1816.5</v>
      </c>
      <c r="F247" s="5">
        <v>2.9</v>
      </c>
      <c r="G247" s="5">
        <v>3.57</v>
      </c>
      <c r="H247" s="5">
        <f t="shared" si="70"/>
        <v>6.47</v>
      </c>
      <c r="I247" s="28">
        <f t="shared" si="71"/>
        <v>70516.53</v>
      </c>
      <c r="J247" s="5">
        <f t="shared" si="72"/>
        <v>3.101611830899999</v>
      </c>
      <c r="K247" s="5">
        <f t="shared" si="73"/>
        <v>3.818191115969999</v>
      </c>
      <c r="L247" s="27">
        <f t="shared" si="74"/>
        <v>6.919802946869998</v>
      </c>
      <c r="M247" s="61">
        <f t="shared" si="75"/>
        <v>75418.93231793611</v>
      </c>
      <c r="N247" s="34">
        <f t="shared" si="76"/>
        <v>145935.46231793612</v>
      </c>
      <c r="O247" s="34"/>
      <c r="P247" s="34"/>
      <c r="Q247" s="5">
        <f t="shared" si="77"/>
        <v>145935.46231793612</v>
      </c>
      <c r="R247" s="30">
        <f t="shared" si="78"/>
        <v>145935.46231793612</v>
      </c>
      <c r="S247" s="1">
        <v>11860.49</v>
      </c>
      <c r="T247" s="1">
        <v>3627.1</v>
      </c>
      <c r="U247" s="1">
        <v>3627.1</v>
      </c>
      <c r="V247" s="1">
        <v>3627.1</v>
      </c>
      <c r="W247" s="1">
        <v>12451.62</v>
      </c>
      <c r="X247" s="1">
        <v>3627.1</v>
      </c>
      <c r="Y247" s="1">
        <v>5184.95</v>
      </c>
      <c r="Z247" s="1">
        <v>6562.26</v>
      </c>
      <c r="AA247" s="1">
        <v>6878.73</v>
      </c>
      <c r="AB247" s="1">
        <v>4049.21</v>
      </c>
      <c r="AC247" s="165">
        <f t="shared" si="79"/>
        <v>61495.659999999996</v>
      </c>
      <c r="AD247" s="1">
        <v>0</v>
      </c>
      <c r="AE247" s="1">
        <v>3587.16</v>
      </c>
      <c r="AF247" s="1"/>
      <c r="AG247" s="1">
        <v>4350.8</v>
      </c>
      <c r="AH247" s="1">
        <v>0</v>
      </c>
      <c r="AI247" s="1">
        <v>11868.83</v>
      </c>
      <c r="AJ247" s="6">
        <f t="shared" si="68"/>
        <v>81302.45</v>
      </c>
      <c r="AK247" s="1"/>
      <c r="AL247" s="1"/>
      <c r="AM247" s="1"/>
      <c r="AN247" s="95">
        <v>41569</v>
      </c>
      <c r="AO247" s="6">
        <f t="shared" si="80"/>
        <v>122871.45</v>
      </c>
      <c r="AP247" s="91">
        <f t="shared" si="81"/>
        <v>23064.012317936125</v>
      </c>
      <c r="AQ247" s="10">
        <v>193.64</v>
      </c>
      <c r="AR247" s="10">
        <v>-12968.39</v>
      </c>
      <c r="AS247" s="34"/>
      <c r="AT247" s="116">
        <f t="shared" si="67"/>
        <v>10289.262317936125</v>
      </c>
      <c r="AU247" s="116">
        <v>3384</v>
      </c>
      <c r="AV247" s="116"/>
      <c r="AW247" s="116"/>
      <c r="AX247" s="116">
        <f>AT247+AU247-AV247-AW247</f>
        <v>13673.262317936125</v>
      </c>
      <c r="AY247" s="116">
        <v>3954.47</v>
      </c>
      <c r="AZ247" s="172">
        <f t="shared" si="69"/>
        <v>9718.792317936126</v>
      </c>
      <c r="BA247" s="130">
        <v>132514.62</v>
      </c>
    </row>
    <row r="248" spans="1:53" ht="12.75">
      <c r="A248" s="1">
        <v>236</v>
      </c>
      <c r="B248" s="1" t="s">
        <v>257</v>
      </c>
      <c r="C248" s="1">
        <v>790.4</v>
      </c>
      <c r="D248" s="1">
        <v>0</v>
      </c>
      <c r="E248" s="7">
        <f t="shared" si="82"/>
        <v>790.4</v>
      </c>
      <c r="F248" s="5">
        <v>2.9</v>
      </c>
      <c r="G248" s="5">
        <v>7.09</v>
      </c>
      <c r="H248" s="5">
        <f t="shared" si="70"/>
        <v>9.99</v>
      </c>
      <c r="I248" s="28">
        <f t="shared" si="71"/>
        <v>47376.576</v>
      </c>
      <c r="J248" s="5">
        <f t="shared" si="72"/>
        <v>3.101611830899999</v>
      </c>
      <c r="K248" s="5">
        <f t="shared" si="73"/>
        <v>7.582906165889998</v>
      </c>
      <c r="L248" s="27">
        <f t="shared" si="74"/>
        <v>10.684517996789998</v>
      </c>
      <c r="M248" s="61">
        <f t="shared" si="75"/>
        <v>50670.258147976885</v>
      </c>
      <c r="N248" s="34">
        <f t="shared" si="76"/>
        <v>98046.83414797689</v>
      </c>
      <c r="O248" s="34">
        <v>92369.68</v>
      </c>
      <c r="P248" s="34"/>
      <c r="Q248" s="5">
        <f t="shared" si="77"/>
        <v>5677.154147976893</v>
      </c>
      <c r="R248" s="30">
        <v>17452.03</v>
      </c>
      <c r="S248" s="1">
        <v>1454.34</v>
      </c>
      <c r="T248" s="1">
        <v>1454.34</v>
      </c>
      <c r="U248" s="1">
        <v>6007.04</v>
      </c>
      <c r="V248" s="1">
        <v>3123.27</v>
      </c>
      <c r="W248" s="1">
        <v>1454.34</v>
      </c>
      <c r="X248" s="1">
        <v>1454.34</v>
      </c>
      <c r="Y248" s="1">
        <v>1557.09</v>
      </c>
      <c r="Z248" s="1">
        <v>1557.09</v>
      </c>
      <c r="AA248" s="1">
        <v>1771.39</v>
      </c>
      <c r="AB248" s="1">
        <v>602.74</v>
      </c>
      <c r="AC248" s="165">
        <f t="shared" si="79"/>
        <v>20435.98</v>
      </c>
      <c r="AD248" s="1">
        <v>0</v>
      </c>
      <c r="AE248" s="1">
        <v>954.34</v>
      </c>
      <c r="AF248" s="1"/>
      <c r="AG248" s="1">
        <v>1557.09</v>
      </c>
      <c r="AH248" s="1">
        <v>0</v>
      </c>
      <c r="AI248" s="1">
        <v>1557.09</v>
      </c>
      <c r="AJ248" s="6">
        <f t="shared" si="68"/>
        <v>24504.5</v>
      </c>
      <c r="AK248" s="1"/>
      <c r="AL248" s="1"/>
      <c r="AM248" s="1"/>
      <c r="AN248" s="1"/>
      <c r="AO248" s="6">
        <f t="shared" si="80"/>
        <v>24504.5</v>
      </c>
      <c r="AP248" s="136">
        <f t="shared" si="81"/>
        <v>-7052.470000000001</v>
      </c>
      <c r="AQ248" s="110"/>
      <c r="AR248" s="110"/>
      <c r="AS248" s="111"/>
      <c r="AT248" s="111">
        <f t="shared" si="67"/>
        <v>-7052.470000000001</v>
      </c>
      <c r="AU248" s="133"/>
      <c r="AV248" s="111"/>
      <c r="AW248" s="111"/>
      <c r="AX248" s="111"/>
      <c r="AY248" s="134"/>
      <c r="AZ248" s="172">
        <f t="shared" si="69"/>
        <v>0</v>
      </c>
      <c r="BA248" s="127">
        <v>14213</v>
      </c>
    </row>
    <row r="249" spans="1:53" ht="12.75">
      <c r="A249" s="1">
        <v>237</v>
      </c>
      <c r="B249" s="1" t="s">
        <v>258</v>
      </c>
      <c r="C249" s="1">
        <v>450.9</v>
      </c>
      <c r="D249" s="1">
        <v>0</v>
      </c>
      <c r="E249" s="7">
        <f t="shared" si="82"/>
        <v>450.9</v>
      </c>
      <c r="F249" s="5">
        <v>2.9</v>
      </c>
      <c r="G249" s="5">
        <v>6.98</v>
      </c>
      <c r="H249" s="5">
        <f t="shared" si="70"/>
        <v>9.88</v>
      </c>
      <c r="I249" s="28">
        <f t="shared" si="71"/>
        <v>26729.352</v>
      </c>
      <c r="J249" s="5">
        <f t="shared" si="72"/>
        <v>3.101611830899999</v>
      </c>
      <c r="K249" s="5">
        <f t="shared" si="73"/>
        <v>7.465258820579999</v>
      </c>
      <c r="L249" s="27">
        <f t="shared" si="74"/>
        <v>10.566870651479999</v>
      </c>
      <c r="M249" s="61">
        <f t="shared" si="75"/>
        <v>28587.611860513985</v>
      </c>
      <c r="N249" s="34">
        <f t="shared" si="76"/>
        <v>55316.963860513984</v>
      </c>
      <c r="O249" s="34">
        <v>4721.64</v>
      </c>
      <c r="P249" s="34"/>
      <c r="Q249" s="5">
        <f t="shared" si="77"/>
        <v>50595.323860513985</v>
      </c>
      <c r="R249" s="30">
        <f t="shared" si="78"/>
        <v>50595.323860513985</v>
      </c>
      <c r="S249" s="1">
        <v>2033.84</v>
      </c>
      <c r="T249" s="1">
        <v>5135.78</v>
      </c>
      <c r="U249" s="1">
        <v>2033.84</v>
      </c>
      <c r="V249" s="1">
        <v>2444.97</v>
      </c>
      <c r="W249" s="1">
        <v>2033.84</v>
      </c>
      <c r="X249" s="1">
        <v>2033.84</v>
      </c>
      <c r="Y249" s="1">
        <v>2344.77</v>
      </c>
      <c r="Z249" s="1">
        <v>10985.43</v>
      </c>
      <c r="AA249" s="1">
        <v>2763.72</v>
      </c>
      <c r="AB249" s="1">
        <v>946.27</v>
      </c>
      <c r="AC249" s="165">
        <f t="shared" si="79"/>
        <v>32756.3</v>
      </c>
      <c r="AD249" s="1">
        <v>0</v>
      </c>
      <c r="AE249" s="1">
        <v>2443.92</v>
      </c>
      <c r="AF249" s="1"/>
      <c r="AG249" s="1">
        <v>2163.24</v>
      </c>
      <c r="AH249" s="1">
        <v>0</v>
      </c>
      <c r="AI249" s="1">
        <v>3965.55</v>
      </c>
      <c r="AJ249" s="6">
        <f t="shared" si="68"/>
        <v>41329.01</v>
      </c>
      <c r="AK249" s="1"/>
      <c r="AL249" s="1"/>
      <c r="AM249" s="1"/>
      <c r="AN249" s="1"/>
      <c r="AO249" s="6">
        <f t="shared" si="80"/>
        <v>41329.01</v>
      </c>
      <c r="AP249" s="91">
        <f t="shared" si="81"/>
        <v>9266.313860513983</v>
      </c>
      <c r="AQ249" s="10"/>
      <c r="AR249" s="10"/>
      <c r="AS249" s="34"/>
      <c r="AT249" s="116">
        <f t="shared" si="67"/>
        <v>9266.313860513983</v>
      </c>
      <c r="AU249" s="134"/>
      <c r="AV249" s="116"/>
      <c r="AW249" s="116"/>
      <c r="AX249" s="146">
        <f>AT249+AU249-AV249-AW249</f>
        <v>9266.313860513983</v>
      </c>
      <c r="AY249" s="134">
        <v>2679.93</v>
      </c>
      <c r="AZ249" s="172">
        <f t="shared" si="69"/>
        <v>6586.383860513983</v>
      </c>
      <c r="BA249" s="127">
        <v>49196.84</v>
      </c>
    </row>
    <row r="250" spans="1:53" ht="12.75">
      <c r="A250" s="1">
        <v>238</v>
      </c>
      <c r="B250" s="1" t="s">
        <v>259</v>
      </c>
      <c r="C250" s="1">
        <v>818.6</v>
      </c>
      <c r="D250" s="1">
        <v>0</v>
      </c>
      <c r="E250" s="7">
        <f t="shared" si="82"/>
        <v>818.6</v>
      </c>
      <c r="F250" s="5">
        <v>2.9</v>
      </c>
      <c r="G250" s="5">
        <v>7.09</v>
      </c>
      <c r="H250" s="5">
        <f t="shared" si="70"/>
        <v>9.99</v>
      </c>
      <c r="I250" s="28">
        <f t="shared" si="71"/>
        <v>49066.884000000005</v>
      </c>
      <c r="J250" s="5">
        <f t="shared" si="72"/>
        <v>3.101611830899999</v>
      </c>
      <c r="K250" s="5">
        <f t="shared" si="73"/>
        <v>7.582906165889998</v>
      </c>
      <c r="L250" s="27">
        <f t="shared" si="74"/>
        <v>10.684517996789998</v>
      </c>
      <c r="M250" s="61">
        <f t="shared" si="75"/>
        <v>52478.07859303376</v>
      </c>
      <c r="N250" s="34">
        <f t="shared" si="76"/>
        <v>101544.96259303376</v>
      </c>
      <c r="O250" s="34"/>
      <c r="P250" s="34"/>
      <c r="Q250" s="5">
        <f t="shared" si="77"/>
        <v>101544.96259303376</v>
      </c>
      <c r="R250" s="30">
        <f t="shared" si="78"/>
        <v>101544.96259303376</v>
      </c>
      <c r="S250" s="1">
        <v>3405.38</v>
      </c>
      <c r="T250" s="1">
        <v>3571.61</v>
      </c>
      <c r="U250" s="1">
        <v>3405.38</v>
      </c>
      <c r="V250" s="1">
        <v>3816.51</v>
      </c>
      <c r="W250" s="1">
        <v>45605.6</v>
      </c>
      <c r="X250" s="1">
        <v>3405.38</v>
      </c>
      <c r="Y250" s="1">
        <v>13953.35</v>
      </c>
      <c r="Z250" s="1">
        <v>26912.01</v>
      </c>
      <c r="AA250" s="1">
        <v>4147.28</v>
      </c>
      <c r="AB250" s="1">
        <v>1410.1</v>
      </c>
      <c r="AC250" s="165">
        <f t="shared" si="79"/>
        <v>109632.59999999999</v>
      </c>
      <c r="AD250" s="1">
        <v>0</v>
      </c>
      <c r="AE250" s="1">
        <v>17678.45</v>
      </c>
      <c r="AF250" s="1"/>
      <c r="AG250" s="1">
        <v>3642.77</v>
      </c>
      <c r="AH250" s="1">
        <v>0</v>
      </c>
      <c r="AI250" s="1">
        <v>4188.37</v>
      </c>
      <c r="AJ250" s="6">
        <f t="shared" si="68"/>
        <v>135142.19</v>
      </c>
      <c r="AK250" s="1"/>
      <c r="AL250" s="1"/>
      <c r="AM250" s="1"/>
      <c r="AN250" s="1"/>
      <c r="AO250" s="6">
        <f t="shared" si="80"/>
        <v>135142.19</v>
      </c>
      <c r="AP250" s="136">
        <f t="shared" si="81"/>
        <v>-33597.22740696624</v>
      </c>
      <c r="AQ250" s="110">
        <v>-979.89</v>
      </c>
      <c r="AR250" s="110">
        <v>33573.74</v>
      </c>
      <c r="AS250" s="111"/>
      <c r="AT250" s="111">
        <f t="shared" si="67"/>
        <v>-1003.3774069662395</v>
      </c>
      <c r="AU250" s="121"/>
      <c r="AV250" s="111"/>
      <c r="AW250" s="111"/>
      <c r="AX250" s="111"/>
      <c r="AY250" s="116"/>
      <c r="AZ250" s="172">
        <f t="shared" si="69"/>
        <v>0</v>
      </c>
      <c r="BA250" s="130">
        <v>96530.69</v>
      </c>
    </row>
    <row r="251" spans="1:53" ht="12.75">
      <c r="A251" s="1">
        <v>239</v>
      </c>
      <c r="B251" s="1" t="s">
        <v>260</v>
      </c>
      <c r="C251" s="1">
        <v>458.3</v>
      </c>
      <c r="D251" s="1">
        <v>0</v>
      </c>
      <c r="E251" s="7">
        <f t="shared" si="82"/>
        <v>458.3</v>
      </c>
      <c r="F251" s="5">
        <v>2.9</v>
      </c>
      <c r="G251" s="5">
        <v>6.98</v>
      </c>
      <c r="H251" s="5">
        <f t="shared" si="70"/>
        <v>9.88</v>
      </c>
      <c r="I251" s="28">
        <f t="shared" si="71"/>
        <v>27168.024000000005</v>
      </c>
      <c r="J251" s="5">
        <f t="shared" si="72"/>
        <v>3.101611830899999</v>
      </c>
      <c r="K251" s="5">
        <f t="shared" si="73"/>
        <v>7.465258820579999</v>
      </c>
      <c r="L251" s="27">
        <f t="shared" si="74"/>
        <v>10.566870651479999</v>
      </c>
      <c r="M251" s="61">
        <f t="shared" si="75"/>
        <v>29056.780917439704</v>
      </c>
      <c r="N251" s="34">
        <f t="shared" si="76"/>
        <v>56224.80491743971</v>
      </c>
      <c r="O251" s="34"/>
      <c r="P251" s="34"/>
      <c r="Q251" s="5">
        <f t="shared" si="77"/>
        <v>56224.80491743971</v>
      </c>
      <c r="R251" s="30">
        <f t="shared" si="78"/>
        <v>56224.80491743971</v>
      </c>
      <c r="S251" s="1">
        <v>3914.3</v>
      </c>
      <c r="T251" s="1">
        <v>2250.41</v>
      </c>
      <c r="U251" s="1">
        <v>7794.63</v>
      </c>
      <c r="V251" s="1">
        <v>2084.18</v>
      </c>
      <c r="W251" s="1">
        <v>2084.18</v>
      </c>
      <c r="X251" s="1">
        <v>2084.18</v>
      </c>
      <c r="Y251" s="1">
        <v>23031.23</v>
      </c>
      <c r="Z251" s="1">
        <v>2217.09</v>
      </c>
      <c r="AA251" s="1">
        <v>2217.09</v>
      </c>
      <c r="AB251" s="1">
        <v>2588.68</v>
      </c>
      <c r="AC251" s="165">
        <f t="shared" si="79"/>
        <v>50265.969999999994</v>
      </c>
      <c r="AD251" s="1">
        <v>0</v>
      </c>
      <c r="AE251" s="1">
        <v>2132.42</v>
      </c>
      <c r="AF251" s="1"/>
      <c r="AG251" s="1">
        <v>3559.48</v>
      </c>
      <c r="AH251" s="1">
        <v>0</v>
      </c>
      <c r="AI251" s="1">
        <v>6513.78</v>
      </c>
      <c r="AJ251" s="6">
        <f t="shared" si="68"/>
        <v>62471.649999999994</v>
      </c>
      <c r="AK251" s="1"/>
      <c r="AL251" s="1"/>
      <c r="AM251" s="1"/>
      <c r="AN251" s="1"/>
      <c r="AO251" s="6">
        <f t="shared" si="80"/>
        <v>62471.649999999994</v>
      </c>
      <c r="AP251" s="136">
        <f t="shared" si="81"/>
        <v>-6246.845082560285</v>
      </c>
      <c r="AQ251" s="110"/>
      <c r="AR251" s="110">
        <v>-3625.95</v>
      </c>
      <c r="AS251" s="111"/>
      <c r="AT251" s="111">
        <f t="shared" si="67"/>
        <v>-9872.795082560286</v>
      </c>
      <c r="AU251" s="121"/>
      <c r="AV251" s="111"/>
      <c r="AW251" s="111"/>
      <c r="AX251" s="111"/>
      <c r="AY251" s="116"/>
      <c r="AZ251" s="172">
        <f t="shared" si="69"/>
        <v>0</v>
      </c>
      <c r="BA251" s="130">
        <v>157560.04</v>
      </c>
    </row>
    <row r="252" spans="1:53" ht="12.75">
      <c r="A252" s="1">
        <v>240</v>
      </c>
      <c r="B252" s="84" t="s">
        <v>261</v>
      </c>
      <c r="C252" s="1">
        <v>1521.2</v>
      </c>
      <c r="D252" s="1">
        <v>71.6</v>
      </c>
      <c r="E252" s="7">
        <f t="shared" si="82"/>
        <v>1592.8</v>
      </c>
      <c r="F252" s="5">
        <v>2.9</v>
      </c>
      <c r="G252" s="5">
        <v>7.15</v>
      </c>
      <c r="H252" s="5">
        <f t="shared" si="70"/>
        <v>10.05</v>
      </c>
      <c r="I252" s="28">
        <f t="shared" si="71"/>
        <v>96045.84000000001</v>
      </c>
      <c r="J252" s="5">
        <f t="shared" si="72"/>
        <v>3.101611830899999</v>
      </c>
      <c r="K252" s="5">
        <f t="shared" si="73"/>
        <v>7.64707744515</v>
      </c>
      <c r="L252" s="27">
        <f t="shared" si="74"/>
        <v>10.74868927605</v>
      </c>
      <c r="M252" s="61">
        <f t="shared" si="75"/>
        <v>102723.07367335464</v>
      </c>
      <c r="N252" s="34">
        <f t="shared" si="76"/>
        <v>198768.91367335466</v>
      </c>
      <c r="O252" s="34"/>
      <c r="P252" s="34"/>
      <c r="Q252" s="5">
        <f t="shared" si="77"/>
        <v>198768.91367335466</v>
      </c>
      <c r="R252" s="30">
        <f t="shared" si="78"/>
        <v>198768.91367335466</v>
      </c>
      <c r="S252" s="1">
        <v>21603.15</v>
      </c>
      <c r="T252" s="1">
        <v>9907.94</v>
      </c>
      <c r="U252" s="1">
        <v>9879.33</v>
      </c>
      <c r="V252" s="1">
        <v>9928.11</v>
      </c>
      <c r="W252" s="1">
        <v>8982.5</v>
      </c>
      <c r="X252" s="1">
        <v>8164.86</v>
      </c>
      <c r="Y252" s="1">
        <v>13544.8</v>
      </c>
      <c r="Z252" s="1">
        <v>7565.33</v>
      </c>
      <c r="AA252" s="1">
        <v>11073.81</v>
      </c>
      <c r="AB252" s="1">
        <v>2914.83</v>
      </c>
      <c r="AC252" s="165">
        <f t="shared" si="79"/>
        <v>103564.66</v>
      </c>
      <c r="AD252" s="1">
        <v>7167.44</v>
      </c>
      <c r="AE252" s="1">
        <v>5206.38</v>
      </c>
      <c r="AF252" s="1">
        <v>30291.62</v>
      </c>
      <c r="AG252" s="1">
        <v>3307.98</v>
      </c>
      <c r="AH252" s="1">
        <v>9927.41</v>
      </c>
      <c r="AI252" s="1">
        <v>3307.98</v>
      </c>
      <c r="AJ252" s="6">
        <f t="shared" si="68"/>
        <v>162773.47000000003</v>
      </c>
      <c r="AK252" s="1"/>
      <c r="AL252" s="1"/>
      <c r="AM252" s="1"/>
      <c r="AN252" s="1"/>
      <c r="AO252" s="6">
        <f t="shared" si="80"/>
        <v>162773.47000000003</v>
      </c>
      <c r="AP252" s="91">
        <f t="shared" si="81"/>
        <v>35995.44367335463</v>
      </c>
      <c r="AQ252" s="10">
        <v>36650.46</v>
      </c>
      <c r="AR252" s="10">
        <v>-4979.11</v>
      </c>
      <c r="AS252" s="34"/>
      <c r="AT252" s="116">
        <f t="shared" si="67"/>
        <v>67666.79367335462</v>
      </c>
      <c r="AU252" s="116"/>
      <c r="AV252" s="116"/>
      <c r="AW252" s="116"/>
      <c r="AX252" s="116">
        <f>AT252+AU252-AV252-AW252</f>
        <v>67666.79367335462</v>
      </c>
      <c r="AY252" s="116">
        <v>19570.03</v>
      </c>
      <c r="AZ252" s="172">
        <f t="shared" si="69"/>
        <v>48096.763673354624</v>
      </c>
      <c r="BA252" s="130">
        <v>138018.25</v>
      </c>
    </row>
    <row r="253" spans="1:53" ht="12.75">
      <c r="A253" s="1">
        <v>241</v>
      </c>
      <c r="B253" s="1" t="s">
        <v>262</v>
      </c>
      <c r="C253" s="1">
        <v>473.2</v>
      </c>
      <c r="D253" s="1">
        <v>0</v>
      </c>
      <c r="E253" s="7">
        <f t="shared" si="82"/>
        <v>473.2</v>
      </c>
      <c r="F253" s="5">
        <v>2.9</v>
      </c>
      <c r="G253" s="5">
        <v>6.98</v>
      </c>
      <c r="H253" s="5">
        <f t="shared" si="70"/>
        <v>9.88</v>
      </c>
      <c r="I253" s="28">
        <f t="shared" si="71"/>
        <v>28051.296000000002</v>
      </c>
      <c r="J253" s="5">
        <f t="shared" si="72"/>
        <v>3.101611830899999</v>
      </c>
      <c r="K253" s="5">
        <f t="shared" si="73"/>
        <v>7.465258820579999</v>
      </c>
      <c r="L253" s="27">
        <f t="shared" si="74"/>
        <v>10.566870651479999</v>
      </c>
      <c r="M253" s="61">
        <f t="shared" si="75"/>
        <v>30001.45915368201</v>
      </c>
      <c r="N253" s="34">
        <f t="shared" si="76"/>
        <v>58052.75515368201</v>
      </c>
      <c r="O253" s="34">
        <v>142502.17</v>
      </c>
      <c r="P253" s="34"/>
      <c r="Q253" s="5">
        <f t="shared" si="77"/>
        <v>-84449.414846318</v>
      </c>
      <c r="R253" s="30">
        <v>10397.47</v>
      </c>
      <c r="S253" s="1">
        <v>866.46</v>
      </c>
      <c r="T253" s="1">
        <v>1032.69</v>
      </c>
      <c r="U253" s="1">
        <v>866.46</v>
      </c>
      <c r="V253" s="1">
        <v>866.46</v>
      </c>
      <c r="W253" s="1">
        <v>866.46</v>
      </c>
      <c r="X253" s="1">
        <v>866.46</v>
      </c>
      <c r="Y253" s="1">
        <v>927.67</v>
      </c>
      <c r="Z253" s="1">
        <v>15954.73</v>
      </c>
      <c r="AA253" s="1">
        <v>14520.91</v>
      </c>
      <c r="AB253" s="1">
        <v>13611.77</v>
      </c>
      <c r="AC253" s="165">
        <f t="shared" si="79"/>
        <v>50380.07000000001</v>
      </c>
      <c r="AD253" s="1">
        <v>0</v>
      </c>
      <c r="AE253" s="1">
        <v>568.57</v>
      </c>
      <c r="AF253" s="1"/>
      <c r="AG253" s="1">
        <v>927.67</v>
      </c>
      <c r="AH253" s="1">
        <v>0</v>
      </c>
      <c r="AI253" s="1">
        <v>1473.27</v>
      </c>
      <c r="AJ253" s="6">
        <f t="shared" si="68"/>
        <v>53349.58</v>
      </c>
      <c r="AK253" s="1"/>
      <c r="AL253" s="1"/>
      <c r="AM253" s="1"/>
      <c r="AN253" s="1"/>
      <c r="AO253" s="6">
        <f t="shared" si="80"/>
        <v>53349.58</v>
      </c>
      <c r="AP253" s="136">
        <f t="shared" si="81"/>
        <v>-42952.11</v>
      </c>
      <c r="AQ253" s="110"/>
      <c r="AR253" s="110"/>
      <c r="AS253" s="111"/>
      <c r="AT253" s="111">
        <f t="shared" si="67"/>
        <v>-42952.11</v>
      </c>
      <c r="AU253" s="121">
        <v>7358</v>
      </c>
      <c r="AV253" s="111"/>
      <c r="AW253" s="111"/>
      <c r="AX253" s="147">
        <f>AU253-AV253</f>
        <v>7358</v>
      </c>
      <c r="AY253" s="116">
        <v>2128.02</v>
      </c>
      <c r="AZ253" s="172">
        <f t="shared" si="69"/>
        <v>5229.98</v>
      </c>
      <c r="BA253" s="130">
        <v>19553.39</v>
      </c>
    </row>
    <row r="254" spans="1:53" ht="12.75">
      <c r="A254" s="1">
        <v>242</v>
      </c>
      <c r="B254" s="84" t="s">
        <v>263</v>
      </c>
      <c r="C254" s="1">
        <v>1093.4</v>
      </c>
      <c r="D254" s="1">
        <v>0</v>
      </c>
      <c r="E254" s="7">
        <f t="shared" si="82"/>
        <v>1093.4</v>
      </c>
      <c r="F254" s="5">
        <v>2.9</v>
      </c>
      <c r="G254" s="5">
        <v>7.85</v>
      </c>
      <c r="H254" s="5">
        <f t="shared" si="70"/>
        <v>10.75</v>
      </c>
      <c r="I254" s="28">
        <f t="shared" si="71"/>
        <v>70524.3</v>
      </c>
      <c r="J254" s="5">
        <f t="shared" si="72"/>
        <v>3.101611830899999</v>
      </c>
      <c r="K254" s="5">
        <f t="shared" si="73"/>
        <v>8.395742369849998</v>
      </c>
      <c r="L254" s="27">
        <f t="shared" si="74"/>
        <v>11.497354200749998</v>
      </c>
      <c r="M254" s="61">
        <f t="shared" si="75"/>
        <v>75427.2424986003</v>
      </c>
      <c r="N254" s="34">
        <f t="shared" si="76"/>
        <v>145951.54249860032</v>
      </c>
      <c r="O254" s="34">
        <v>240981.21</v>
      </c>
      <c r="P254" s="34"/>
      <c r="Q254" s="5">
        <f t="shared" si="77"/>
        <v>-95029.66750139967</v>
      </c>
      <c r="R254" s="30">
        <v>26274.07</v>
      </c>
      <c r="S254" s="1">
        <v>2189.51</v>
      </c>
      <c r="T254" s="1">
        <v>4504.62</v>
      </c>
      <c r="U254" s="1">
        <v>6652.45</v>
      </c>
      <c r="V254" s="1">
        <v>2445.58</v>
      </c>
      <c r="W254" s="1">
        <v>2189.51</v>
      </c>
      <c r="X254" s="1">
        <v>2189.51</v>
      </c>
      <c r="Y254" s="1">
        <v>4229.96</v>
      </c>
      <c r="Z254" s="1">
        <v>2331.65</v>
      </c>
      <c r="AA254" s="1">
        <v>7207.4</v>
      </c>
      <c r="AB254" s="1">
        <v>1011.46</v>
      </c>
      <c r="AC254" s="165">
        <f t="shared" si="79"/>
        <v>34951.65</v>
      </c>
      <c r="AD254" s="1">
        <v>0</v>
      </c>
      <c r="AE254" s="1">
        <v>1320.19</v>
      </c>
      <c r="AF254" s="1">
        <v>0</v>
      </c>
      <c r="AG254" s="1">
        <v>2331.65</v>
      </c>
      <c r="AH254" s="1">
        <v>0</v>
      </c>
      <c r="AI254" s="1">
        <v>2331.65</v>
      </c>
      <c r="AJ254" s="6">
        <f t="shared" si="68"/>
        <v>40935.14000000001</v>
      </c>
      <c r="AK254" s="1"/>
      <c r="AL254" s="1"/>
      <c r="AM254" s="1"/>
      <c r="AN254" s="1"/>
      <c r="AO254" s="6">
        <f t="shared" si="80"/>
        <v>40935.14000000001</v>
      </c>
      <c r="AP254" s="136">
        <f t="shared" si="81"/>
        <v>-14661.070000000007</v>
      </c>
      <c r="AQ254" s="110"/>
      <c r="AR254" s="110"/>
      <c r="AS254" s="111"/>
      <c r="AT254" s="111">
        <f t="shared" si="67"/>
        <v>-14661.070000000007</v>
      </c>
      <c r="AU254" s="121"/>
      <c r="AV254" s="111"/>
      <c r="AW254" s="111"/>
      <c r="AX254" s="111"/>
      <c r="AY254" s="116"/>
      <c r="AZ254" s="172">
        <f t="shared" si="69"/>
        <v>0</v>
      </c>
      <c r="BA254" s="130">
        <v>177112.38</v>
      </c>
    </row>
    <row r="255" spans="1:53" ht="12.75">
      <c r="A255" s="1">
        <v>243</v>
      </c>
      <c r="B255" s="84" t="s">
        <v>264</v>
      </c>
      <c r="C255" s="1">
        <v>1283.1</v>
      </c>
      <c r="D255" s="1">
        <v>0</v>
      </c>
      <c r="E255" s="7">
        <f t="shared" si="82"/>
        <v>1283.1</v>
      </c>
      <c r="F255" s="5">
        <v>2.9</v>
      </c>
      <c r="G255" s="5">
        <v>7.85</v>
      </c>
      <c r="H255" s="5">
        <f t="shared" si="70"/>
        <v>10.75</v>
      </c>
      <c r="I255" s="28">
        <f t="shared" si="71"/>
        <v>82759.95</v>
      </c>
      <c r="J255" s="5">
        <f t="shared" si="72"/>
        <v>3.101611830899999</v>
      </c>
      <c r="K255" s="5">
        <f t="shared" si="73"/>
        <v>8.395742369849998</v>
      </c>
      <c r="L255" s="27">
        <f t="shared" si="74"/>
        <v>11.497354200749998</v>
      </c>
      <c r="M255" s="61">
        <f t="shared" si="75"/>
        <v>88513.53104989394</v>
      </c>
      <c r="N255" s="34">
        <f t="shared" si="76"/>
        <v>171273.48104989395</v>
      </c>
      <c r="O255" s="34">
        <v>78673.88</v>
      </c>
      <c r="P255" s="34"/>
      <c r="Q255" s="5">
        <f t="shared" si="77"/>
        <v>92599.60104989394</v>
      </c>
      <c r="R255" s="30">
        <f t="shared" si="78"/>
        <v>92599.60104989394</v>
      </c>
      <c r="S255" s="1">
        <v>8018.28</v>
      </c>
      <c r="T255" s="1">
        <v>9850.39</v>
      </c>
      <c r="U255" s="1">
        <v>7038.49</v>
      </c>
      <c r="V255" s="1">
        <v>6260.15</v>
      </c>
      <c r="W255" s="1">
        <v>6033.23</v>
      </c>
      <c r="X255" s="1">
        <v>8284.9</v>
      </c>
      <c r="Y255" s="1">
        <v>8747.71</v>
      </c>
      <c r="Z255" s="1">
        <v>8694.5</v>
      </c>
      <c r="AA255" s="1">
        <v>11287.89</v>
      </c>
      <c r="AB255" s="1">
        <v>4466.24</v>
      </c>
      <c r="AC255" s="165">
        <f t="shared" si="79"/>
        <v>78681.78</v>
      </c>
      <c r="AD255" s="1">
        <v>1952.14</v>
      </c>
      <c r="AE255" s="1">
        <v>1550.69</v>
      </c>
      <c r="AF255" s="1">
        <v>3185.06</v>
      </c>
      <c r="AG255" s="1">
        <v>2963.79</v>
      </c>
      <c r="AH255" s="1">
        <v>4021.27</v>
      </c>
      <c r="AI255" s="1">
        <v>2707.72</v>
      </c>
      <c r="AJ255" s="6">
        <f t="shared" si="68"/>
        <v>95062.45</v>
      </c>
      <c r="AK255" s="1"/>
      <c r="AL255" s="1"/>
      <c r="AM255" s="1"/>
      <c r="AN255" s="1"/>
      <c r="AO255" s="6">
        <f t="shared" si="80"/>
        <v>95062.45</v>
      </c>
      <c r="AP255" s="136">
        <f t="shared" si="81"/>
        <v>-2462.848950106054</v>
      </c>
      <c r="AQ255" s="110"/>
      <c r="AR255" s="110"/>
      <c r="AS255" s="111"/>
      <c r="AT255" s="111">
        <f t="shared" si="67"/>
        <v>-2462.848950106054</v>
      </c>
      <c r="AU255" s="121"/>
      <c r="AV255" s="111"/>
      <c r="AW255" s="111"/>
      <c r="AX255" s="111"/>
      <c r="AY255" s="116"/>
      <c r="AZ255" s="172">
        <f t="shared" si="69"/>
        <v>0</v>
      </c>
      <c r="BA255" s="130">
        <v>197835.53</v>
      </c>
    </row>
    <row r="256" spans="1:53" ht="12.75">
      <c r="A256" s="1">
        <v>244</v>
      </c>
      <c r="B256" s="84" t="s">
        <v>265</v>
      </c>
      <c r="C256" s="1">
        <v>946.5</v>
      </c>
      <c r="D256" s="1">
        <v>0</v>
      </c>
      <c r="E256" s="7">
        <f t="shared" si="82"/>
        <v>946.5</v>
      </c>
      <c r="F256" s="5">
        <v>2.9</v>
      </c>
      <c r="G256" s="5">
        <v>7.85</v>
      </c>
      <c r="H256" s="5">
        <f t="shared" si="70"/>
        <v>10.75</v>
      </c>
      <c r="I256" s="28">
        <f t="shared" si="71"/>
        <v>61049.25</v>
      </c>
      <c r="J256" s="5">
        <f t="shared" si="72"/>
        <v>3.101611830899999</v>
      </c>
      <c r="K256" s="5">
        <f t="shared" si="73"/>
        <v>8.395742369849998</v>
      </c>
      <c r="L256" s="27">
        <f t="shared" si="74"/>
        <v>11.497354200749998</v>
      </c>
      <c r="M256" s="61">
        <f t="shared" si="75"/>
        <v>65293.47450605923</v>
      </c>
      <c r="N256" s="34">
        <f t="shared" si="76"/>
        <v>126342.72450605922</v>
      </c>
      <c r="O256" s="34">
        <v>102479.24</v>
      </c>
      <c r="P256" s="34"/>
      <c r="Q256" s="5">
        <f t="shared" si="77"/>
        <v>23863.48450605922</v>
      </c>
      <c r="R256" s="30">
        <f t="shared" si="78"/>
        <v>23863.48450605922</v>
      </c>
      <c r="S256" s="1">
        <v>6221.02</v>
      </c>
      <c r="T256" s="1">
        <v>9908.57</v>
      </c>
      <c r="U256" s="1">
        <v>72080.6</v>
      </c>
      <c r="V256" s="1">
        <v>3816.58</v>
      </c>
      <c r="W256" s="1">
        <v>3715.8</v>
      </c>
      <c r="X256" s="1">
        <v>9929.02</v>
      </c>
      <c r="Y256" s="1">
        <v>12856.67</v>
      </c>
      <c r="Z256" s="1">
        <v>3285.63</v>
      </c>
      <c r="AA256" s="1">
        <v>8080.87</v>
      </c>
      <c r="AB256" s="1">
        <v>900.04</v>
      </c>
      <c r="AC256" s="165">
        <f t="shared" si="79"/>
        <v>130794.8</v>
      </c>
      <c r="AD256" s="1">
        <v>0</v>
      </c>
      <c r="AE256" s="1">
        <v>3003.59</v>
      </c>
      <c r="AF256" s="1">
        <v>7846.49</v>
      </c>
      <c r="AG256" s="1">
        <v>14738.28</v>
      </c>
      <c r="AH256" s="1">
        <v>0</v>
      </c>
      <c r="AI256" s="1">
        <v>2043.83</v>
      </c>
      <c r="AJ256" s="6">
        <f t="shared" si="68"/>
        <v>158426.99</v>
      </c>
      <c r="AK256" s="1"/>
      <c r="AL256" s="1"/>
      <c r="AM256" s="1"/>
      <c r="AN256" s="1"/>
      <c r="AO256" s="6">
        <f t="shared" si="80"/>
        <v>158426.99</v>
      </c>
      <c r="AP256" s="136">
        <f t="shared" si="81"/>
        <v>-134563.5054939408</v>
      </c>
      <c r="AQ256" s="110"/>
      <c r="AR256" s="110"/>
      <c r="AS256" s="111"/>
      <c r="AT256" s="111">
        <f t="shared" si="67"/>
        <v>-134563.5054939408</v>
      </c>
      <c r="AU256" s="121"/>
      <c r="AV256" s="111"/>
      <c r="AW256" s="111"/>
      <c r="AX256" s="111"/>
      <c r="AY256" s="116"/>
      <c r="AZ256" s="172">
        <f t="shared" si="69"/>
        <v>0</v>
      </c>
      <c r="BA256" s="130">
        <v>108374.14</v>
      </c>
    </row>
    <row r="257" spans="1:53" ht="12.75">
      <c r="A257" s="1">
        <v>245</v>
      </c>
      <c r="B257" s="84" t="s">
        <v>266</v>
      </c>
      <c r="C257" s="1">
        <v>581.9</v>
      </c>
      <c r="D257" s="1">
        <v>0</v>
      </c>
      <c r="E257" s="7">
        <f t="shared" si="82"/>
        <v>581.9</v>
      </c>
      <c r="F257" s="5">
        <v>2.9</v>
      </c>
      <c r="G257" s="5">
        <v>6.98</v>
      </c>
      <c r="H257" s="5">
        <f t="shared" si="70"/>
        <v>9.88</v>
      </c>
      <c r="I257" s="28">
        <f t="shared" si="71"/>
        <v>34495.03200000001</v>
      </c>
      <c r="J257" s="5">
        <f t="shared" si="72"/>
        <v>3.101611830899999</v>
      </c>
      <c r="K257" s="5">
        <f t="shared" si="73"/>
        <v>7.465258820579999</v>
      </c>
      <c r="L257" s="27">
        <f t="shared" si="74"/>
        <v>10.566870651479999</v>
      </c>
      <c r="M257" s="61">
        <f t="shared" si="75"/>
        <v>36893.172192577265</v>
      </c>
      <c r="N257" s="34">
        <f t="shared" si="76"/>
        <v>71388.20419257728</v>
      </c>
      <c r="O257" s="34">
        <v>43022.73</v>
      </c>
      <c r="P257" s="34">
        <v>13254.13</v>
      </c>
      <c r="Q257" s="5">
        <f t="shared" si="77"/>
        <v>28365.474192577276</v>
      </c>
      <c r="R257" s="30">
        <f t="shared" si="78"/>
        <v>41619.60419257727</v>
      </c>
      <c r="S257" s="1">
        <v>2745.66</v>
      </c>
      <c r="T257" s="1">
        <v>2354.99</v>
      </c>
      <c r="U257" s="1">
        <v>4438.49</v>
      </c>
      <c r="V257" s="1">
        <v>2709.5</v>
      </c>
      <c r="W257" s="1">
        <v>2899.17</v>
      </c>
      <c r="X257" s="1">
        <v>3726.21</v>
      </c>
      <c r="Y257" s="1">
        <v>14954.43</v>
      </c>
      <c r="Z257" s="1">
        <v>8672.73</v>
      </c>
      <c r="AA257" s="1">
        <v>5186.71</v>
      </c>
      <c r="AB257" s="1">
        <v>1079.25</v>
      </c>
      <c r="AC257" s="165">
        <f t="shared" si="79"/>
        <v>48767.13999999999</v>
      </c>
      <c r="AD257" s="1">
        <v>1973.22</v>
      </c>
      <c r="AE257" s="1">
        <v>631.96</v>
      </c>
      <c r="AF257" s="1">
        <v>9117.39</v>
      </c>
      <c r="AG257" s="1">
        <v>1208.75</v>
      </c>
      <c r="AH257" s="1">
        <v>11344.21</v>
      </c>
      <c r="AI257" s="1">
        <v>1208.75</v>
      </c>
      <c r="AJ257" s="6">
        <f t="shared" si="68"/>
        <v>74251.41999999998</v>
      </c>
      <c r="AK257" s="1"/>
      <c r="AL257" s="1"/>
      <c r="AM257" s="1"/>
      <c r="AN257" s="1"/>
      <c r="AO257" s="6">
        <f t="shared" si="80"/>
        <v>74251.41999999998</v>
      </c>
      <c r="AP257" s="136">
        <f t="shared" si="81"/>
        <v>-32631.81580742271</v>
      </c>
      <c r="AQ257" s="110"/>
      <c r="AR257" s="110"/>
      <c r="AS257" s="111"/>
      <c r="AT257" s="111">
        <f t="shared" si="67"/>
        <v>-32631.81580742271</v>
      </c>
      <c r="AU257" s="121"/>
      <c r="AV257" s="111"/>
      <c r="AW257" s="111"/>
      <c r="AX257" s="111"/>
      <c r="AY257" s="116"/>
      <c r="AZ257" s="172">
        <f t="shared" si="69"/>
        <v>0</v>
      </c>
      <c r="BA257" s="130">
        <v>51542.33</v>
      </c>
    </row>
    <row r="258" spans="1:53" ht="12.75">
      <c r="A258" s="1">
        <v>246</v>
      </c>
      <c r="B258" s="84" t="s">
        <v>267</v>
      </c>
      <c r="C258" s="1">
        <v>1849.5</v>
      </c>
      <c r="D258" s="1">
        <v>0</v>
      </c>
      <c r="E258" s="7">
        <f t="shared" si="82"/>
        <v>1849.5</v>
      </c>
      <c r="F258" s="5">
        <v>2.9</v>
      </c>
      <c r="G258" s="5">
        <v>7.26</v>
      </c>
      <c r="H258" s="5">
        <f t="shared" si="70"/>
        <v>10.16</v>
      </c>
      <c r="I258" s="28">
        <f t="shared" si="71"/>
        <v>112745.52000000002</v>
      </c>
      <c r="J258" s="5">
        <f t="shared" si="72"/>
        <v>3.101611830899999</v>
      </c>
      <c r="K258" s="5">
        <f t="shared" si="73"/>
        <v>7.764724790459999</v>
      </c>
      <c r="L258" s="27">
        <f t="shared" si="74"/>
        <v>10.866336621359999</v>
      </c>
      <c r="M258" s="61">
        <f t="shared" si="75"/>
        <v>120583.7374872319</v>
      </c>
      <c r="N258" s="34">
        <f t="shared" si="76"/>
        <v>233329.25748723192</v>
      </c>
      <c r="O258" s="34"/>
      <c r="P258" s="34"/>
      <c r="Q258" s="5">
        <f t="shared" si="77"/>
        <v>233329.25748723192</v>
      </c>
      <c r="R258" s="30">
        <f t="shared" si="78"/>
        <v>233329.25748723192</v>
      </c>
      <c r="S258" s="1">
        <v>14485</v>
      </c>
      <c r="T258" s="1">
        <v>8984.08</v>
      </c>
      <c r="U258" s="1">
        <v>32668.81</v>
      </c>
      <c r="V258" s="1">
        <v>8351.97</v>
      </c>
      <c r="W258" s="1">
        <v>8568.37</v>
      </c>
      <c r="X258" s="1">
        <v>12182.92</v>
      </c>
      <c r="Y258" s="1">
        <v>10343.8</v>
      </c>
      <c r="Z258" s="1">
        <v>13351.13</v>
      </c>
      <c r="AA258" s="1">
        <v>33659.58</v>
      </c>
      <c r="AB258" s="1">
        <v>4166.76</v>
      </c>
      <c r="AC258" s="165">
        <f t="shared" si="79"/>
        <v>146762.42</v>
      </c>
      <c r="AD258" s="1">
        <v>7440.91</v>
      </c>
      <c r="AE258" s="1">
        <v>2756.28</v>
      </c>
      <c r="AF258" s="1">
        <v>4599.16</v>
      </c>
      <c r="AG258" s="1">
        <v>6089.15</v>
      </c>
      <c r="AH258" s="1">
        <v>7919.15</v>
      </c>
      <c r="AI258" s="1">
        <v>8755.82</v>
      </c>
      <c r="AJ258" s="6">
        <f t="shared" si="68"/>
        <v>184322.89</v>
      </c>
      <c r="AK258" s="1"/>
      <c r="AL258" s="1"/>
      <c r="AM258" s="1"/>
      <c r="AN258" s="1"/>
      <c r="AO258" s="6">
        <f t="shared" si="80"/>
        <v>184322.89</v>
      </c>
      <c r="AP258" s="91">
        <f t="shared" si="81"/>
        <v>49006.36748723191</v>
      </c>
      <c r="AQ258" s="10"/>
      <c r="AR258" s="10">
        <v>18280.14</v>
      </c>
      <c r="AS258" s="34"/>
      <c r="AT258" s="116">
        <f t="shared" si="67"/>
        <v>67286.50748723191</v>
      </c>
      <c r="AU258" s="116">
        <v>4318</v>
      </c>
      <c r="AV258" s="116">
        <v>1756.99</v>
      </c>
      <c r="AW258" s="116"/>
      <c r="AX258" s="116">
        <f aca="true" t="shared" si="83" ref="AX258:AX267">AT258+AU258-AV258-AW258</f>
        <v>69847.5174872319</v>
      </c>
      <c r="AY258" s="116">
        <v>20200.73</v>
      </c>
      <c r="AZ258" s="172">
        <f t="shared" si="69"/>
        <v>49646.78748723191</v>
      </c>
      <c r="BA258" s="130">
        <v>154472.11</v>
      </c>
    </row>
    <row r="259" spans="1:53" ht="12.75">
      <c r="A259" s="1">
        <v>247</v>
      </c>
      <c r="B259" s="1" t="s">
        <v>268</v>
      </c>
      <c r="C259" s="1">
        <v>4897.1</v>
      </c>
      <c r="D259" s="1">
        <v>0</v>
      </c>
      <c r="E259" s="7">
        <f t="shared" si="82"/>
        <v>4897.1</v>
      </c>
      <c r="F259" s="5">
        <v>2.9</v>
      </c>
      <c r="G259" s="5">
        <v>7.85</v>
      </c>
      <c r="H259" s="5">
        <f t="shared" si="70"/>
        <v>10.75</v>
      </c>
      <c r="I259" s="28">
        <f t="shared" si="71"/>
        <v>315862.95</v>
      </c>
      <c r="J259" s="5">
        <f t="shared" si="72"/>
        <v>3.101611830899999</v>
      </c>
      <c r="K259" s="5">
        <f t="shared" si="73"/>
        <v>8.395742369849998</v>
      </c>
      <c r="L259" s="27">
        <f t="shared" si="74"/>
        <v>11.497354200749998</v>
      </c>
      <c r="M259" s="61">
        <f t="shared" si="75"/>
        <v>337822.1595389569</v>
      </c>
      <c r="N259" s="34">
        <f t="shared" si="76"/>
        <v>653685.1095389569</v>
      </c>
      <c r="O259" s="34">
        <v>156617.51</v>
      </c>
      <c r="P259" s="34"/>
      <c r="Q259" s="5">
        <f t="shared" si="77"/>
        <v>497067.5995389569</v>
      </c>
      <c r="R259" s="30">
        <f t="shared" si="78"/>
        <v>497067.5995389569</v>
      </c>
      <c r="S259" s="1">
        <v>30124.25</v>
      </c>
      <c r="T259" s="1">
        <v>38710.52</v>
      </c>
      <c r="U259" s="1">
        <v>25113.62</v>
      </c>
      <c r="V259" s="1">
        <v>59417.4</v>
      </c>
      <c r="W259" s="1">
        <v>26838.35</v>
      </c>
      <c r="X259" s="1">
        <v>36867.58</v>
      </c>
      <c r="Y259" s="1">
        <v>50333.96</v>
      </c>
      <c r="Z259" s="1">
        <v>47820</v>
      </c>
      <c r="AA259" s="1">
        <v>80986.78</v>
      </c>
      <c r="AB259" s="1">
        <v>21989.55</v>
      </c>
      <c r="AC259" s="165">
        <f t="shared" si="79"/>
        <v>418202.00999999995</v>
      </c>
      <c r="AD259" s="1">
        <v>0</v>
      </c>
      <c r="AE259" s="1">
        <v>15148.42</v>
      </c>
      <c r="AF259" s="1"/>
      <c r="AG259" s="1">
        <v>30258.44</v>
      </c>
      <c r="AH259" s="1">
        <v>0</v>
      </c>
      <c r="AI259" s="1">
        <v>33348.5</v>
      </c>
      <c r="AJ259" s="6">
        <f t="shared" si="68"/>
        <v>496957.36999999994</v>
      </c>
      <c r="AK259" s="1"/>
      <c r="AL259" s="1"/>
      <c r="AM259" s="1"/>
      <c r="AN259" s="1"/>
      <c r="AO259" s="6">
        <f t="shared" si="80"/>
        <v>496957.36999999994</v>
      </c>
      <c r="AP259" s="91">
        <f t="shared" si="81"/>
        <v>110.22953895694809</v>
      </c>
      <c r="AQ259" s="10"/>
      <c r="AR259" s="10"/>
      <c r="AS259" s="34"/>
      <c r="AT259" s="116">
        <f t="shared" si="67"/>
        <v>110.22953895694809</v>
      </c>
      <c r="AU259" s="116"/>
      <c r="AV259" s="116"/>
      <c r="AW259" s="116"/>
      <c r="AX259" s="116">
        <f t="shared" si="83"/>
        <v>110.22953895694809</v>
      </c>
      <c r="AY259" s="116">
        <v>31.88</v>
      </c>
      <c r="AZ259" s="172">
        <f t="shared" si="69"/>
        <v>78.3495389569481</v>
      </c>
      <c r="BA259" s="130">
        <v>173558.34</v>
      </c>
    </row>
    <row r="260" spans="1:53" ht="12.75">
      <c r="A260" s="1">
        <v>248</v>
      </c>
      <c r="B260" s="1" t="s">
        <v>269</v>
      </c>
      <c r="C260" s="1">
        <v>1311.8</v>
      </c>
      <c r="D260" s="1">
        <v>0</v>
      </c>
      <c r="E260" s="7">
        <f t="shared" si="82"/>
        <v>1311.8</v>
      </c>
      <c r="F260" s="5">
        <v>2.9</v>
      </c>
      <c r="G260" s="5">
        <v>7.65</v>
      </c>
      <c r="H260" s="5">
        <f t="shared" si="70"/>
        <v>10.55</v>
      </c>
      <c r="I260" s="28">
        <f t="shared" si="71"/>
        <v>83036.94</v>
      </c>
      <c r="J260" s="5">
        <f t="shared" si="72"/>
        <v>3.101611830899999</v>
      </c>
      <c r="K260" s="5">
        <f t="shared" si="73"/>
        <v>8.181838105649998</v>
      </c>
      <c r="L260" s="27">
        <f t="shared" si="74"/>
        <v>11.283449936549998</v>
      </c>
      <c r="M260" s="61">
        <f t="shared" si="75"/>
        <v>88809.77776059772</v>
      </c>
      <c r="N260" s="34">
        <f t="shared" si="76"/>
        <v>171846.7177605977</v>
      </c>
      <c r="O260" s="34"/>
      <c r="P260" s="34"/>
      <c r="Q260" s="5">
        <f t="shared" si="77"/>
        <v>171846.7177605977</v>
      </c>
      <c r="R260" s="30">
        <f t="shared" si="78"/>
        <v>171846.7177605977</v>
      </c>
      <c r="S260" s="1">
        <v>6812.32</v>
      </c>
      <c r="T260" s="1">
        <v>6440.35</v>
      </c>
      <c r="U260" s="1">
        <v>16151.17</v>
      </c>
      <c r="V260" s="1">
        <v>6708.24</v>
      </c>
      <c r="W260" s="1">
        <v>5906.25</v>
      </c>
      <c r="X260" s="1">
        <v>11832.59</v>
      </c>
      <c r="Y260" s="1">
        <v>7281.06</v>
      </c>
      <c r="Z260" s="1">
        <v>7106.84</v>
      </c>
      <c r="AA260" s="1">
        <v>5930.51</v>
      </c>
      <c r="AB260" s="1">
        <v>2723.9</v>
      </c>
      <c r="AC260" s="165">
        <f t="shared" si="79"/>
        <v>76893.22999999998</v>
      </c>
      <c r="AD260" s="1">
        <v>0</v>
      </c>
      <c r="AE260" s="1">
        <v>4623.18</v>
      </c>
      <c r="AF260" s="1"/>
      <c r="AG260" s="1">
        <v>9290.2</v>
      </c>
      <c r="AH260" s="1">
        <v>0</v>
      </c>
      <c r="AI260" s="1">
        <v>9236.83</v>
      </c>
      <c r="AJ260" s="6">
        <f t="shared" si="68"/>
        <v>100043.43999999997</v>
      </c>
      <c r="AK260" s="1"/>
      <c r="AL260" s="1"/>
      <c r="AM260" s="1"/>
      <c r="AN260" s="1"/>
      <c r="AO260" s="6">
        <f t="shared" si="80"/>
        <v>100043.43999999997</v>
      </c>
      <c r="AP260" s="91">
        <f t="shared" si="81"/>
        <v>71803.27776059773</v>
      </c>
      <c r="AQ260" s="10">
        <v>33948.64</v>
      </c>
      <c r="AR260" s="10">
        <v>66923.17</v>
      </c>
      <c r="AS260" s="34"/>
      <c r="AT260" s="116">
        <f t="shared" si="67"/>
        <v>172675.08776059773</v>
      </c>
      <c r="AU260" s="134"/>
      <c r="AV260" s="116">
        <f>6973.33+763.33*4</f>
        <v>10026.65</v>
      </c>
      <c r="AW260" s="116"/>
      <c r="AX260" s="116">
        <f t="shared" si="83"/>
        <v>162648.43776059774</v>
      </c>
      <c r="AY260" s="134">
        <v>47039.85</v>
      </c>
      <c r="AZ260" s="172">
        <f t="shared" si="69"/>
        <v>115608.58776059773</v>
      </c>
      <c r="BA260" s="127">
        <v>333215.01</v>
      </c>
    </row>
    <row r="261" spans="1:53" ht="12.75">
      <c r="A261" s="1">
        <v>249</v>
      </c>
      <c r="B261" s="1" t="s">
        <v>270</v>
      </c>
      <c r="C261" s="1">
        <v>490.1</v>
      </c>
      <c r="D261" s="1">
        <v>0</v>
      </c>
      <c r="E261" s="7">
        <f t="shared" si="82"/>
        <v>490.1</v>
      </c>
      <c r="F261" s="5">
        <v>2.9</v>
      </c>
      <c r="G261" s="5">
        <v>7.37</v>
      </c>
      <c r="H261" s="5">
        <f t="shared" si="70"/>
        <v>10.27</v>
      </c>
      <c r="I261" s="28">
        <f t="shared" si="71"/>
        <v>30199.962</v>
      </c>
      <c r="J261" s="5">
        <f t="shared" si="72"/>
        <v>3.101611830899999</v>
      </c>
      <c r="K261" s="5">
        <f t="shared" si="73"/>
        <v>7.882372135769999</v>
      </c>
      <c r="L261" s="27">
        <f t="shared" si="74"/>
        <v>10.983983966669998</v>
      </c>
      <c r="M261" s="61">
        <f t="shared" si="75"/>
        <v>32299.503252389797</v>
      </c>
      <c r="N261" s="34">
        <f t="shared" si="76"/>
        <v>62499.4652523898</v>
      </c>
      <c r="O261" s="34"/>
      <c r="P261" s="34"/>
      <c r="Q261" s="5">
        <f t="shared" si="77"/>
        <v>62499.4652523898</v>
      </c>
      <c r="R261" s="30">
        <f t="shared" si="78"/>
        <v>62499.4652523898</v>
      </c>
      <c r="S261" s="1">
        <v>2215.63</v>
      </c>
      <c r="T261" s="1">
        <v>2215.63</v>
      </c>
      <c r="U261" s="1">
        <v>24388.97</v>
      </c>
      <c r="V261" s="1">
        <v>2215.63</v>
      </c>
      <c r="W261" s="1">
        <v>2215.63</v>
      </c>
      <c r="X261" s="1">
        <v>4432.19</v>
      </c>
      <c r="Y261" s="1">
        <v>2357.71</v>
      </c>
      <c r="Z261" s="1">
        <v>6041.2</v>
      </c>
      <c r="AA261" s="1">
        <v>3998.89</v>
      </c>
      <c r="AB261" s="1">
        <v>1021.54</v>
      </c>
      <c r="AC261" s="165">
        <f t="shared" si="79"/>
        <v>51103.020000000004</v>
      </c>
      <c r="AD261" s="1">
        <v>0</v>
      </c>
      <c r="AE261" s="1">
        <v>1750.66</v>
      </c>
      <c r="AF261" s="1"/>
      <c r="AG261" s="1">
        <v>2357.71</v>
      </c>
      <c r="AH261" s="1">
        <v>0</v>
      </c>
      <c r="AI261" s="1">
        <v>2357.71</v>
      </c>
      <c r="AJ261" s="6">
        <f t="shared" si="68"/>
        <v>57569.100000000006</v>
      </c>
      <c r="AK261" s="1"/>
      <c r="AL261" s="1"/>
      <c r="AM261" s="1"/>
      <c r="AN261" s="1"/>
      <c r="AO261" s="6">
        <f t="shared" si="80"/>
        <v>57569.100000000006</v>
      </c>
      <c r="AP261" s="91">
        <f t="shared" si="81"/>
        <v>4930.365252389791</v>
      </c>
      <c r="AQ261" s="10">
        <v>18280.13</v>
      </c>
      <c r="AR261" s="10">
        <v>18213.6</v>
      </c>
      <c r="AS261" s="34"/>
      <c r="AT261" s="116">
        <f t="shared" si="67"/>
        <v>41424.09525238979</v>
      </c>
      <c r="AU261" s="116"/>
      <c r="AV261" s="144">
        <v>9917.89</v>
      </c>
      <c r="AW261" s="116"/>
      <c r="AX261" s="146">
        <f t="shared" si="83"/>
        <v>31506.205252389787</v>
      </c>
      <c r="AY261" s="116">
        <v>9111.97</v>
      </c>
      <c r="AZ261" s="172">
        <f t="shared" si="69"/>
        <v>22394.235252389786</v>
      </c>
      <c r="BA261" s="130">
        <v>25317.22</v>
      </c>
    </row>
    <row r="262" spans="1:53" ht="12.75">
      <c r="A262" s="1">
        <v>250</v>
      </c>
      <c r="B262" s="1" t="s">
        <v>271</v>
      </c>
      <c r="C262" s="1">
        <v>481.5</v>
      </c>
      <c r="D262" s="1">
        <v>0</v>
      </c>
      <c r="E262" s="7">
        <f t="shared" si="82"/>
        <v>481.5</v>
      </c>
      <c r="F262" s="5">
        <v>2.9</v>
      </c>
      <c r="G262" s="5">
        <v>7.37</v>
      </c>
      <c r="H262" s="5">
        <f t="shared" si="70"/>
        <v>10.27</v>
      </c>
      <c r="I262" s="28">
        <f t="shared" si="71"/>
        <v>29670.03</v>
      </c>
      <c r="J262" s="5">
        <f t="shared" si="72"/>
        <v>3.101611830899999</v>
      </c>
      <c r="K262" s="5">
        <f t="shared" si="73"/>
        <v>7.882372135769999</v>
      </c>
      <c r="L262" s="27">
        <f t="shared" si="74"/>
        <v>10.983983966669998</v>
      </c>
      <c r="M262" s="61">
        <f t="shared" si="75"/>
        <v>31732.72967970962</v>
      </c>
      <c r="N262" s="34">
        <f t="shared" si="76"/>
        <v>61402.75967970962</v>
      </c>
      <c r="O262" s="34">
        <v>26760.6</v>
      </c>
      <c r="P262" s="34">
        <v>23172.74</v>
      </c>
      <c r="Q262" s="5">
        <f t="shared" si="77"/>
        <v>34642.15967970962</v>
      </c>
      <c r="R262" s="30">
        <f t="shared" si="78"/>
        <v>57814.89967970962</v>
      </c>
      <c r="S262" s="1">
        <v>2180.69</v>
      </c>
      <c r="T262" s="1">
        <v>2180.69</v>
      </c>
      <c r="U262" s="1">
        <v>2564.96</v>
      </c>
      <c r="V262" s="1">
        <v>2436.76</v>
      </c>
      <c r="W262" s="1">
        <v>2180.69</v>
      </c>
      <c r="X262" s="1">
        <v>5018.36</v>
      </c>
      <c r="Y262" s="1">
        <v>2320.33</v>
      </c>
      <c r="Z262" s="1">
        <v>18620.7</v>
      </c>
      <c r="AA262" s="1">
        <v>5525.88</v>
      </c>
      <c r="AB262" s="1">
        <v>1007.07</v>
      </c>
      <c r="AC262" s="165">
        <f t="shared" si="79"/>
        <v>44036.130000000005</v>
      </c>
      <c r="AD262" s="1">
        <v>0</v>
      </c>
      <c r="AE262" s="1">
        <v>1727.75</v>
      </c>
      <c r="AF262" s="1"/>
      <c r="AG262" s="1">
        <v>2320.33</v>
      </c>
      <c r="AH262" s="1">
        <v>0</v>
      </c>
      <c r="AI262" s="1">
        <v>2320.33</v>
      </c>
      <c r="AJ262" s="6">
        <f t="shared" si="68"/>
        <v>50404.54000000001</v>
      </c>
      <c r="AK262" s="1"/>
      <c r="AL262" s="1"/>
      <c r="AM262" s="1"/>
      <c r="AN262" s="1"/>
      <c r="AO262" s="6">
        <f t="shared" si="80"/>
        <v>50404.54000000001</v>
      </c>
      <c r="AP262" s="91">
        <f t="shared" si="81"/>
        <v>7410.359679709611</v>
      </c>
      <c r="AQ262" s="10"/>
      <c r="AR262" s="10"/>
      <c r="AS262" s="34"/>
      <c r="AT262" s="116">
        <f t="shared" si="67"/>
        <v>7410.359679709611</v>
      </c>
      <c r="AU262" s="116"/>
      <c r="AV262" s="116"/>
      <c r="AW262" s="116"/>
      <c r="AX262" s="146">
        <f t="shared" si="83"/>
        <v>7410.359679709611</v>
      </c>
      <c r="AY262" s="116">
        <v>2143.16</v>
      </c>
      <c r="AZ262" s="172">
        <f t="shared" si="69"/>
        <v>5267.199679709611</v>
      </c>
      <c r="BA262" s="130">
        <v>49534.99</v>
      </c>
    </row>
    <row r="263" spans="1:53" ht="12.75">
      <c r="A263" s="1">
        <v>251</v>
      </c>
      <c r="B263" s="1" t="s">
        <v>272</v>
      </c>
      <c r="C263" s="1">
        <v>342.3</v>
      </c>
      <c r="D263" s="1">
        <v>116.8</v>
      </c>
      <c r="E263" s="7">
        <f t="shared" si="82"/>
        <v>459.1</v>
      </c>
      <c r="F263" s="5">
        <v>2.9</v>
      </c>
      <c r="G263" s="5">
        <v>7.37</v>
      </c>
      <c r="H263" s="5">
        <f t="shared" si="70"/>
        <v>10.27</v>
      </c>
      <c r="I263" s="28">
        <f t="shared" si="71"/>
        <v>28289.742000000002</v>
      </c>
      <c r="J263" s="5">
        <f t="shared" si="72"/>
        <v>3.101611830899999</v>
      </c>
      <c r="K263" s="5">
        <f t="shared" si="73"/>
        <v>7.882372135769999</v>
      </c>
      <c r="L263" s="27">
        <f t="shared" si="74"/>
        <v>10.983983966669998</v>
      </c>
      <c r="M263" s="61">
        <f t="shared" si="75"/>
        <v>30256.482234589177</v>
      </c>
      <c r="N263" s="34">
        <f t="shared" si="76"/>
        <v>58546.22423458918</v>
      </c>
      <c r="O263" s="34"/>
      <c r="P263" s="34"/>
      <c r="Q263" s="5">
        <f t="shared" si="77"/>
        <v>58546.22423458918</v>
      </c>
      <c r="R263" s="30">
        <f>Q263+P263</f>
        <v>58546.22423458918</v>
      </c>
      <c r="S263" s="1">
        <v>1804.61</v>
      </c>
      <c r="T263" s="1">
        <v>2060.68</v>
      </c>
      <c r="U263" s="1">
        <v>2188.88</v>
      </c>
      <c r="V263" s="1">
        <v>1804.61</v>
      </c>
      <c r="W263" s="1">
        <v>2720.53</v>
      </c>
      <c r="X263" s="1">
        <v>2935.51</v>
      </c>
      <c r="Y263" s="1">
        <v>1930.41</v>
      </c>
      <c r="Z263" s="1">
        <v>15806.08</v>
      </c>
      <c r="AA263" s="1">
        <v>1930.41</v>
      </c>
      <c r="AB263" s="1">
        <v>747.26</v>
      </c>
      <c r="AC263" s="165">
        <f t="shared" si="79"/>
        <v>33928.98</v>
      </c>
      <c r="AD263" s="1">
        <v>0</v>
      </c>
      <c r="AE263" s="1">
        <v>1597.65</v>
      </c>
      <c r="AF263" s="1"/>
      <c r="AG263" s="1">
        <v>1930.41</v>
      </c>
      <c r="AH263" s="1">
        <v>0</v>
      </c>
      <c r="AI263" s="1">
        <v>1930.41</v>
      </c>
      <c r="AJ263" s="6">
        <f t="shared" si="68"/>
        <v>39387.45000000001</v>
      </c>
      <c r="AK263" s="1"/>
      <c r="AL263" s="1"/>
      <c r="AM263" s="1"/>
      <c r="AN263" s="1"/>
      <c r="AO263" s="6">
        <f t="shared" si="80"/>
        <v>39387.45000000001</v>
      </c>
      <c r="AP263" s="91">
        <f t="shared" si="81"/>
        <v>19158.774234589167</v>
      </c>
      <c r="AQ263" s="10">
        <v>13665.56</v>
      </c>
      <c r="AR263" s="10">
        <v>22554.59</v>
      </c>
      <c r="AS263" s="34"/>
      <c r="AT263" s="116">
        <f t="shared" si="67"/>
        <v>55378.92423458917</v>
      </c>
      <c r="AU263" s="116"/>
      <c r="AV263" s="116"/>
      <c r="AW263" s="116"/>
      <c r="AX263" s="116">
        <f t="shared" si="83"/>
        <v>55378.92423458917</v>
      </c>
      <c r="AY263" s="116">
        <v>16016.24</v>
      </c>
      <c r="AZ263" s="172">
        <f t="shared" si="69"/>
        <v>39362.68423458917</v>
      </c>
      <c r="BA263" s="130">
        <v>56213.61</v>
      </c>
    </row>
    <row r="264" spans="1:53" ht="12.75">
      <c r="A264" s="1"/>
      <c r="B264" s="84" t="s">
        <v>435</v>
      </c>
      <c r="C264" s="1">
        <v>2116.6</v>
      </c>
      <c r="D264" s="1">
        <v>0</v>
      </c>
      <c r="E264" s="7">
        <f>C264+D264</f>
        <v>2116.6</v>
      </c>
      <c r="F264" s="5"/>
      <c r="G264" s="5"/>
      <c r="H264" s="5"/>
      <c r="I264" s="28">
        <v>0</v>
      </c>
      <c r="J264" s="5">
        <v>3.1</v>
      </c>
      <c r="K264" s="5">
        <v>7.88</v>
      </c>
      <c r="L264" s="27">
        <f>J264+K264</f>
        <v>10.98</v>
      </c>
      <c r="M264" s="61">
        <f>L264*E264</f>
        <v>23240.268</v>
      </c>
      <c r="N264" s="34">
        <f t="shared" si="76"/>
        <v>23240.268</v>
      </c>
      <c r="O264" s="34"/>
      <c r="P264" s="34"/>
      <c r="Q264" s="5">
        <f t="shared" si="77"/>
        <v>23240.268</v>
      </c>
      <c r="R264" s="30">
        <f>Q264+P264</f>
        <v>23240.268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65">
        <f t="shared" si="79"/>
        <v>0</v>
      </c>
      <c r="AD264" s="1"/>
      <c r="AE264" s="1"/>
      <c r="AF264" s="1"/>
      <c r="AG264" s="1"/>
      <c r="AH264" s="2">
        <v>5249.17</v>
      </c>
      <c r="AI264" s="1">
        <v>4347.35</v>
      </c>
      <c r="AJ264" s="6">
        <f t="shared" si="68"/>
        <v>9596.52</v>
      </c>
      <c r="AK264" s="1"/>
      <c r="AL264" s="1"/>
      <c r="AM264" s="1"/>
      <c r="AN264" s="1">
        <v>16830</v>
      </c>
      <c r="AO264" s="6">
        <f>AJ264+AK264+AL264+AM264+AN264</f>
        <v>26426.52</v>
      </c>
      <c r="AP264" s="91">
        <f t="shared" si="81"/>
        <v>-3186.2520000000004</v>
      </c>
      <c r="AQ264" s="10"/>
      <c r="AR264" s="10"/>
      <c r="AS264" s="34"/>
      <c r="AT264" s="116">
        <f t="shared" si="67"/>
        <v>-3186.2520000000004</v>
      </c>
      <c r="AU264" s="134"/>
      <c r="AV264" s="138"/>
      <c r="AW264" s="138"/>
      <c r="AX264" s="116">
        <f t="shared" si="83"/>
        <v>-3186.2520000000004</v>
      </c>
      <c r="AY264" s="134"/>
      <c r="AZ264" s="172">
        <f t="shared" si="69"/>
        <v>-3186.2520000000004</v>
      </c>
      <c r="BA264" s="127">
        <v>31252.5</v>
      </c>
    </row>
    <row r="265" spans="1:53" ht="12.75">
      <c r="A265" s="1">
        <v>252</v>
      </c>
      <c r="B265" s="84" t="s">
        <v>412</v>
      </c>
      <c r="C265" s="1">
        <v>2027.6</v>
      </c>
      <c r="D265" s="1">
        <v>0</v>
      </c>
      <c r="E265" s="7">
        <f t="shared" si="82"/>
        <v>2027.6</v>
      </c>
      <c r="F265" s="5">
        <v>2.9</v>
      </c>
      <c r="G265" s="5">
        <v>7.37</v>
      </c>
      <c r="H265" s="5">
        <f>F265+G265</f>
        <v>10.27</v>
      </c>
      <c r="I265" s="28">
        <f>E265*H265</f>
        <v>20823.451999999997</v>
      </c>
      <c r="J265" s="5">
        <f>F265*1.067*1.002363</f>
        <v>3.101611830899999</v>
      </c>
      <c r="K265" s="5">
        <f>G265*1.067*1.002363</f>
        <v>7.882372135769999</v>
      </c>
      <c r="L265" s="27">
        <f>J265+K265</f>
        <v>10.983983966669998</v>
      </c>
      <c r="M265" s="61">
        <f>L265*E265*6</f>
        <v>133626.75534492053</v>
      </c>
      <c r="N265" s="34">
        <f t="shared" si="76"/>
        <v>154450.20734492052</v>
      </c>
      <c r="O265" s="34"/>
      <c r="P265" s="34"/>
      <c r="Q265" s="5">
        <f t="shared" si="77"/>
        <v>154450.20734492052</v>
      </c>
      <c r="R265" s="30">
        <f t="shared" si="78"/>
        <v>154450.20734492052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8612.47</v>
      </c>
      <c r="Y265" s="1">
        <v>9200.47</v>
      </c>
      <c r="Z265" s="1">
        <v>9200.47</v>
      </c>
      <c r="AA265" s="1">
        <v>9200.47</v>
      </c>
      <c r="AB265" s="1">
        <v>3670.35</v>
      </c>
      <c r="AC265" s="165">
        <f t="shared" si="79"/>
        <v>39884.229999999996</v>
      </c>
      <c r="AD265" s="1">
        <v>3081.95</v>
      </c>
      <c r="AE265" s="1">
        <v>2448.16</v>
      </c>
      <c r="AF265" s="1">
        <v>8084.2</v>
      </c>
      <c r="AG265" s="1">
        <v>4709.24</v>
      </c>
      <c r="AH265" s="1">
        <v>6328.88</v>
      </c>
      <c r="AI265" s="1">
        <v>4172.02</v>
      </c>
      <c r="AJ265" s="6">
        <f t="shared" si="68"/>
        <v>68708.68</v>
      </c>
      <c r="AK265" s="1"/>
      <c r="AL265" s="1"/>
      <c r="AM265" s="1"/>
      <c r="AN265" s="1">
        <v>15840</v>
      </c>
      <c r="AO265" s="6">
        <f t="shared" si="80"/>
        <v>84548.68</v>
      </c>
      <c r="AP265" s="91">
        <f t="shared" si="81"/>
        <v>69901.52734492053</v>
      </c>
      <c r="AQ265" s="10"/>
      <c r="AR265" s="10"/>
      <c r="AS265" s="34"/>
      <c r="AT265" s="116">
        <f t="shared" si="67"/>
        <v>69901.52734492053</v>
      </c>
      <c r="AU265" s="34"/>
      <c r="AV265" s="34">
        <f>1358.49*4</f>
        <v>5433.96</v>
      </c>
      <c r="AW265" s="34"/>
      <c r="AX265" s="116">
        <f t="shared" si="83"/>
        <v>64467.56734492053</v>
      </c>
      <c r="AY265" s="116">
        <v>18644.78</v>
      </c>
      <c r="AZ265" s="172">
        <f t="shared" si="69"/>
        <v>45822.78734492053</v>
      </c>
      <c r="BA265" s="140">
        <v>89525.25</v>
      </c>
    </row>
    <row r="266" spans="1:53" ht="12.75">
      <c r="A266" s="1">
        <v>253</v>
      </c>
      <c r="B266" s="84" t="s">
        <v>413</v>
      </c>
      <c r="C266" s="1">
        <v>713.9</v>
      </c>
      <c r="D266" s="1">
        <v>0</v>
      </c>
      <c r="E266" s="7">
        <f t="shared" si="82"/>
        <v>713.9</v>
      </c>
      <c r="F266" s="5">
        <v>2.9</v>
      </c>
      <c r="G266" s="5">
        <v>7.37</v>
      </c>
      <c r="H266" s="5">
        <f>F266+G266</f>
        <v>10.27</v>
      </c>
      <c r="I266" s="28">
        <f>E266*H266</f>
        <v>7331.753</v>
      </c>
      <c r="J266" s="5">
        <f>F266*1.067*1.002363</f>
        <v>3.101611830899999</v>
      </c>
      <c r="K266" s="5">
        <f>G266*1.067*1.002363</f>
        <v>7.882372135769999</v>
      </c>
      <c r="L266" s="27">
        <f>J266+K266</f>
        <v>10.983983966669998</v>
      </c>
      <c r="M266" s="61">
        <f>L266*E266*6</f>
        <v>47048.79692283426</v>
      </c>
      <c r="N266" s="34">
        <f t="shared" si="76"/>
        <v>54380.54992283426</v>
      </c>
      <c r="O266" s="34"/>
      <c r="P266" s="34"/>
      <c r="Q266" s="5">
        <f t="shared" si="77"/>
        <v>54380.54992283426</v>
      </c>
      <c r="R266" s="30">
        <f t="shared" si="78"/>
        <v>54380.54992283426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3147.47</v>
      </c>
      <c r="Y266" s="1">
        <v>3354.51</v>
      </c>
      <c r="Z266" s="1">
        <v>3354.51</v>
      </c>
      <c r="AA266" s="1">
        <v>3614.94</v>
      </c>
      <c r="AB266" s="1">
        <v>1407.4</v>
      </c>
      <c r="AC266" s="165">
        <f t="shared" si="79"/>
        <v>14878.83</v>
      </c>
      <c r="AD266" s="1">
        <v>1085.13</v>
      </c>
      <c r="AE266" s="1">
        <v>861.98</v>
      </c>
      <c r="AF266" s="1">
        <v>4826.22</v>
      </c>
      <c r="AG266" s="1">
        <v>1584.03</v>
      </c>
      <c r="AH266" s="1">
        <v>3070.9</v>
      </c>
      <c r="AI266" s="1">
        <v>1584.03</v>
      </c>
      <c r="AJ266" s="6">
        <f t="shared" si="68"/>
        <v>27891.12</v>
      </c>
      <c r="AK266" s="1"/>
      <c r="AL266" s="1"/>
      <c r="AM266" s="1"/>
      <c r="AN266" s="1">
        <v>4950</v>
      </c>
      <c r="AO266" s="6">
        <f t="shared" si="80"/>
        <v>32841.119999999995</v>
      </c>
      <c r="AP266" s="91">
        <f>R266-AO266</f>
        <v>21539.429922834264</v>
      </c>
      <c r="AQ266" s="10"/>
      <c r="AR266" s="10"/>
      <c r="AS266" s="34"/>
      <c r="AT266" s="116">
        <f t="shared" si="67"/>
        <v>21539.429922834264</v>
      </c>
      <c r="AU266" s="134"/>
      <c r="AV266" s="139">
        <f>478.31*4</f>
        <v>1913.24</v>
      </c>
      <c r="AW266" s="139"/>
      <c r="AX266" s="116">
        <f t="shared" si="83"/>
        <v>19626.189922834263</v>
      </c>
      <c r="AY266" s="134">
        <v>5676.13</v>
      </c>
      <c r="AZ266" s="172">
        <f t="shared" si="69"/>
        <v>13950.059922834262</v>
      </c>
      <c r="BA266" s="127">
        <v>51022.4</v>
      </c>
    </row>
    <row r="267" spans="1:53" ht="12.75">
      <c r="A267" s="1">
        <v>254</v>
      </c>
      <c r="B267" s="84" t="s">
        <v>273</v>
      </c>
      <c r="C267" s="1">
        <v>263.9</v>
      </c>
      <c r="D267" s="1">
        <v>0</v>
      </c>
      <c r="E267" s="7">
        <f aca="true" t="shared" si="84" ref="E267:E284">C267+D267</f>
        <v>263.9</v>
      </c>
      <c r="F267" s="5">
        <v>2.9</v>
      </c>
      <c r="G267" s="5">
        <v>6.98</v>
      </c>
      <c r="H267" s="5">
        <f aca="true" t="shared" si="85" ref="H267:H272">F267+G267</f>
        <v>9.88</v>
      </c>
      <c r="I267" s="28">
        <f aca="true" t="shared" si="86" ref="I267:I272">E267*H267*6</f>
        <v>15643.991999999998</v>
      </c>
      <c r="J267" s="5">
        <f aca="true" t="shared" si="87" ref="J267:K272">F267*1.067*1.002363</f>
        <v>3.101611830899999</v>
      </c>
      <c r="K267" s="5">
        <f t="shared" si="87"/>
        <v>7.465258820579999</v>
      </c>
      <c r="L267" s="27">
        <f aca="true" t="shared" si="88" ref="L267:L272">J267+K267</f>
        <v>10.566870651479999</v>
      </c>
      <c r="M267" s="61">
        <f aca="true" t="shared" si="89" ref="M267:M272">L267*E267*6</f>
        <v>16731.582989553426</v>
      </c>
      <c r="N267" s="34">
        <f aca="true" t="shared" si="90" ref="N267:N272">I267+M267</f>
        <v>32375.574989553425</v>
      </c>
      <c r="O267" s="34"/>
      <c r="P267" s="34"/>
      <c r="Q267" s="5">
        <f aca="true" t="shared" si="91" ref="Q267:Q272">N267-O267</f>
        <v>32375.574989553425</v>
      </c>
      <c r="R267" s="30">
        <f aca="true" t="shared" si="92" ref="R267:R272">Q267+P267</f>
        <v>32375.574989553425</v>
      </c>
      <c r="S267" s="1">
        <v>1271.73</v>
      </c>
      <c r="T267" s="1">
        <v>1271.73</v>
      </c>
      <c r="U267" s="1">
        <v>1650.41</v>
      </c>
      <c r="V267" s="1">
        <v>1271.73</v>
      </c>
      <c r="W267" s="1">
        <v>1271.73</v>
      </c>
      <c r="X267" s="1">
        <v>1271.73</v>
      </c>
      <c r="Y267" s="1">
        <v>1348</v>
      </c>
      <c r="Z267" s="1">
        <v>1348</v>
      </c>
      <c r="AA267" s="1">
        <v>1348</v>
      </c>
      <c r="AB267" s="1">
        <v>630.69</v>
      </c>
      <c r="AC267" s="165">
        <f t="shared" si="79"/>
        <v>12683.75</v>
      </c>
      <c r="AD267" s="1">
        <v>399.76</v>
      </c>
      <c r="AE267" s="1">
        <v>317.55</v>
      </c>
      <c r="AF267" s="1">
        <v>652.24</v>
      </c>
      <c r="AG267" s="1">
        <v>695.76</v>
      </c>
      <c r="AH267" s="1">
        <v>1116.46</v>
      </c>
      <c r="AI267" s="1">
        <v>695.76</v>
      </c>
      <c r="AJ267" s="6">
        <f t="shared" si="68"/>
        <v>16561.28</v>
      </c>
      <c r="AK267" s="1"/>
      <c r="AL267" s="1"/>
      <c r="AM267" s="1"/>
      <c r="AN267" s="1"/>
      <c r="AO267" s="6">
        <f t="shared" si="80"/>
        <v>16561.28</v>
      </c>
      <c r="AP267" s="91">
        <f t="shared" si="81"/>
        <v>15814.294989553426</v>
      </c>
      <c r="AQ267" s="10"/>
      <c r="AR267" s="10">
        <v>-4231.74</v>
      </c>
      <c r="AS267" s="34"/>
      <c r="AT267" s="116">
        <f t="shared" si="67"/>
        <v>11582.554989553426</v>
      </c>
      <c r="AU267" s="116"/>
      <c r="AV267" s="116"/>
      <c r="AW267" s="116"/>
      <c r="AX267" s="116">
        <f t="shared" si="83"/>
        <v>11582.554989553426</v>
      </c>
      <c r="AY267" s="116">
        <v>3349.81</v>
      </c>
      <c r="AZ267" s="172">
        <f t="shared" si="69"/>
        <v>8232.744989553426</v>
      </c>
      <c r="BA267" s="130">
        <v>50992.16</v>
      </c>
    </row>
    <row r="268" spans="1:53" ht="12.75">
      <c r="A268" s="1">
        <v>255</v>
      </c>
      <c r="B268" s="84" t="s">
        <v>274</v>
      </c>
      <c r="C268" s="1">
        <v>416.2</v>
      </c>
      <c r="D268" s="1">
        <v>0</v>
      </c>
      <c r="E268" s="7">
        <f t="shared" si="84"/>
        <v>416.2</v>
      </c>
      <c r="F268" s="5">
        <v>2.9</v>
      </c>
      <c r="G268" s="5">
        <v>6.98</v>
      </c>
      <c r="H268" s="5">
        <f t="shared" si="85"/>
        <v>9.88</v>
      </c>
      <c r="I268" s="28">
        <f t="shared" si="86"/>
        <v>24672.336000000003</v>
      </c>
      <c r="J268" s="5">
        <f t="shared" si="87"/>
        <v>3.101611830899999</v>
      </c>
      <c r="K268" s="5">
        <f t="shared" si="87"/>
        <v>7.465258820579999</v>
      </c>
      <c r="L268" s="27">
        <f t="shared" si="88"/>
        <v>10.566870651479999</v>
      </c>
      <c r="M268" s="61">
        <f t="shared" si="89"/>
        <v>26387.58939087585</v>
      </c>
      <c r="N268" s="34">
        <f t="shared" si="90"/>
        <v>51059.925390875855</v>
      </c>
      <c r="O268" s="34">
        <v>34672.62</v>
      </c>
      <c r="P268" s="34"/>
      <c r="Q268" s="5">
        <f t="shared" si="91"/>
        <v>16387.305390875852</v>
      </c>
      <c r="R268" s="30">
        <f t="shared" si="92"/>
        <v>16387.305390875852</v>
      </c>
      <c r="S268" s="1">
        <v>1454.1</v>
      </c>
      <c r="T268" s="1">
        <v>943.46</v>
      </c>
      <c r="U268" s="1">
        <v>1535.18</v>
      </c>
      <c r="V268" s="1">
        <v>943.46</v>
      </c>
      <c r="W268" s="1">
        <v>943.46</v>
      </c>
      <c r="X268" s="1">
        <v>943.46</v>
      </c>
      <c r="Y268" s="1">
        <v>997.56</v>
      </c>
      <c r="Z268" s="1">
        <v>997.56</v>
      </c>
      <c r="AA268" s="1">
        <v>997.56</v>
      </c>
      <c r="AB268" s="1">
        <v>495.04</v>
      </c>
      <c r="AC268" s="165">
        <f t="shared" si="79"/>
        <v>10250.84</v>
      </c>
      <c r="AD268" s="1">
        <v>2824.1</v>
      </c>
      <c r="AE268" s="1">
        <v>3456.84</v>
      </c>
      <c r="AF268" s="1">
        <v>0</v>
      </c>
      <c r="AG268" s="1">
        <v>3079.41</v>
      </c>
      <c r="AH268" s="1">
        <v>6458.54</v>
      </c>
      <c r="AI268" s="1">
        <v>997.56</v>
      </c>
      <c r="AJ268" s="6">
        <f t="shared" si="68"/>
        <v>27067.29</v>
      </c>
      <c r="AK268" s="1"/>
      <c r="AL268" s="1"/>
      <c r="AM268" s="1"/>
      <c r="AN268" s="1"/>
      <c r="AO268" s="6">
        <f t="shared" si="80"/>
        <v>27067.29</v>
      </c>
      <c r="AP268" s="136">
        <f t="shared" si="81"/>
        <v>-10679.984609124149</v>
      </c>
      <c r="AQ268" s="110"/>
      <c r="AR268" s="110"/>
      <c r="AS268" s="111"/>
      <c r="AT268" s="111">
        <f aca="true" t="shared" si="93" ref="AT268:AT284">AP268+AQ268+AR268+AS268</f>
        <v>-10679.984609124149</v>
      </c>
      <c r="AU268" s="121">
        <v>344</v>
      </c>
      <c r="AV268" s="111"/>
      <c r="AW268" s="111"/>
      <c r="AX268" s="111">
        <f>AU268-AV268</f>
        <v>344</v>
      </c>
      <c r="AY268" s="116">
        <v>99.49</v>
      </c>
      <c r="AZ268" s="172">
        <f t="shared" si="69"/>
        <v>244.51</v>
      </c>
      <c r="BA268" s="130">
        <v>39671.23</v>
      </c>
    </row>
    <row r="269" spans="1:53" ht="12.75">
      <c r="A269" s="1">
        <v>256</v>
      </c>
      <c r="B269" s="84" t="s">
        <v>275</v>
      </c>
      <c r="C269" s="1">
        <v>620.1</v>
      </c>
      <c r="D269" s="1">
        <v>0</v>
      </c>
      <c r="E269" s="7">
        <f t="shared" si="84"/>
        <v>620.1</v>
      </c>
      <c r="F269" s="5">
        <v>2.9</v>
      </c>
      <c r="G269" s="5">
        <v>5.61</v>
      </c>
      <c r="H269" s="5">
        <f t="shared" si="85"/>
        <v>8.51</v>
      </c>
      <c r="I269" s="28">
        <f t="shared" si="86"/>
        <v>31662.306000000004</v>
      </c>
      <c r="J269" s="5">
        <f t="shared" si="87"/>
        <v>3.101611830899999</v>
      </c>
      <c r="K269" s="5">
        <f t="shared" si="87"/>
        <v>6.000014610809999</v>
      </c>
      <c r="L269" s="27">
        <f t="shared" si="88"/>
        <v>9.101626441709998</v>
      </c>
      <c r="M269" s="61">
        <f t="shared" si="89"/>
        <v>33863.51133902622</v>
      </c>
      <c r="N269" s="34">
        <f t="shared" si="90"/>
        <v>65525.81733902622</v>
      </c>
      <c r="O269" s="34">
        <v>3008.13</v>
      </c>
      <c r="P269" s="34"/>
      <c r="Q269" s="5">
        <f t="shared" si="91"/>
        <v>62517.687339026226</v>
      </c>
      <c r="R269" s="30">
        <f t="shared" si="92"/>
        <v>62517.687339026226</v>
      </c>
      <c r="S269" s="1">
        <v>3688.8</v>
      </c>
      <c r="T269" s="1">
        <v>6980.04</v>
      </c>
      <c r="U269" s="1">
        <v>2757.27</v>
      </c>
      <c r="V269" s="1">
        <v>2757.27</v>
      </c>
      <c r="W269" s="1">
        <v>2757.27</v>
      </c>
      <c r="X269" s="1">
        <v>2757.27</v>
      </c>
      <c r="Y269" s="1">
        <v>15992.57</v>
      </c>
      <c r="Z269" s="1">
        <v>11132.38</v>
      </c>
      <c r="AA269" s="1">
        <v>4118.72</v>
      </c>
      <c r="AB269" s="1">
        <v>1245.82</v>
      </c>
      <c r="AC269" s="165">
        <f t="shared" si="79"/>
        <v>54187.41</v>
      </c>
      <c r="AD269" s="1">
        <v>2572.39</v>
      </c>
      <c r="AE269" s="1">
        <v>748.72</v>
      </c>
      <c r="AF269" s="1">
        <v>2703.38</v>
      </c>
      <c r="AG269" s="1">
        <v>1399.25</v>
      </c>
      <c r="AH269" s="1">
        <v>11042.42</v>
      </c>
      <c r="AI269" s="1">
        <v>2177.12</v>
      </c>
      <c r="AJ269" s="6">
        <f aca="true" t="shared" si="94" ref="AJ269:AJ284">AC269+AD269+AE269+AF269+AG269+AH269+AI269</f>
        <v>74830.69</v>
      </c>
      <c r="AK269" s="1"/>
      <c r="AL269" s="1"/>
      <c r="AM269" s="1"/>
      <c r="AN269" s="95">
        <v>35752</v>
      </c>
      <c r="AO269" s="6">
        <f t="shared" si="80"/>
        <v>110582.69</v>
      </c>
      <c r="AP269" s="136">
        <f t="shared" si="81"/>
        <v>-48065.002660973776</v>
      </c>
      <c r="AQ269" s="110"/>
      <c r="AR269" s="110"/>
      <c r="AS269" s="111"/>
      <c r="AT269" s="111">
        <f t="shared" si="93"/>
        <v>-48065.002660973776</v>
      </c>
      <c r="AU269" s="121">
        <v>2231</v>
      </c>
      <c r="AV269" s="111"/>
      <c r="AW269" s="111"/>
      <c r="AX269" s="111">
        <f>AU269-AV269</f>
        <v>2231</v>
      </c>
      <c r="AY269" s="116">
        <v>645.23</v>
      </c>
      <c r="AZ269" s="172">
        <f aca="true" t="shared" si="95" ref="AZ269:AZ332">AX269-AY269</f>
        <v>1585.77</v>
      </c>
      <c r="BA269" s="130">
        <v>14895.16</v>
      </c>
    </row>
    <row r="270" spans="1:53" ht="12.75">
      <c r="A270" s="1">
        <v>257</v>
      </c>
      <c r="B270" s="84" t="s">
        <v>276</v>
      </c>
      <c r="C270" s="1">
        <v>537.2</v>
      </c>
      <c r="D270" s="1">
        <v>0</v>
      </c>
      <c r="E270" s="7">
        <f t="shared" si="84"/>
        <v>537.2</v>
      </c>
      <c r="F270" s="5">
        <v>2.9</v>
      </c>
      <c r="G270" s="5">
        <v>6.98</v>
      </c>
      <c r="H270" s="5">
        <f t="shared" si="85"/>
        <v>9.88</v>
      </c>
      <c r="I270" s="28">
        <f t="shared" si="86"/>
        <v>31845.216000000008</v>
      </c>
      <c r="J270" s="5">
        <f t="shared" si="87"/>
        <v>3.101611830899999</v>
      </c>
      <c r="K270" s="5">
        <f t="shared" si="87"/>
        <v>7.465258820579999</v>
      </c>
      <c r="L270" s="27">
        <f t="shared" si="88"/>
        <v>10.566870651479999</v>
      </c>
      <c r="M270" s="61">
        <f t="shared" si="89"/>
        <v>34059.13748385033</v>
      </c>
      <c r="N270" s="34">
        <f t="shared" si="90"/>
        <v>65904.35348385034</v>
      </c>
      <c r="O270" s="34"/>
      <c r="P270" s="34"/>
      <c r="Q270" s="5">
        <f t="shared" si="91"/>
        <v>65904.35348385034</v>
      </c>
      <c r="R270" s="30">
        <f t="shared" si="92"/>
        <v>65904.35348385034</v>
      </c>
      <c r="S270" s="1">
        <v>4786.97</v>
      </c>
      <c r="T270" s="1">
        <v>3815.54</v>
      </c>
      <c r="U270" s="1">
        <v>2791.08</v>
      </c>
      <c r="V270" s="1">
        <v>2412.4</v>
      </c>
      <c r="W270" s="1">
        <v>2668.47</v>
      </c>
      <c r="X270" s="1">
        <v>2412.4</v>
      </c>
      <c r="Y270" s="1">
        <v>3306.56</v>
      </c>
      <c r="Z270" s="1">
        <v>11435.59</v>
      </c>
      <c r="AA270" s="1">
        <v>58582.42</v>
      </c>
      <c r="AB270" s="1">
        <v>1103.02</v>
      </c>
      <c r="AC270" s="165">
        <f aca="true" t="shared" si="96" ref="AC270:AC284">S270+T270++U270+V270+W270+X270+Y270+Z270+AA270+AB270</f>
        <v>93314.45</v>
      </c>
      <c r="AD270" s="1">
        <v>816.54</v>
      </c>
      <c r="AE270" s="1">
        <v>648.63</v>
      </c>
      <c r="AF270" s="1">
        <v>3134.83</v>
      </c>
      <c r="AG270" s="1">
        <v>1235.93</v>
      </c>
      <c r="AH270" s="1">
        <v>8383.11</v>
      </c>
      <c r="AI270" s="1">
        <v>1235.93</v>
      </c>
      <c r="AJ270" s="6">
        <f t="shared" si="94"/>
        <v>108769.41999999998</v>
      </c>
      <c r="AK270" s="1"/>
      <c r="AL270" s="1"/>
      <c r="AM270" s="1"/>
      <c r="AN270" s="1"/>
      <c r="AO270" s="6">
        <f t="shared" si="80"/>
        <v>108769.41999999998</v>
      </c>
      <c r="AP270" s="136">
        <f t="shared" si="81"/>
        <v>-42865.06651614964</v>
      </c>
      <c r="AQ270" s="110"/>
      <c r="AR270" s="110">
        <v>22953.49</v>
      </c>
      <c r="AS270" s="111"/>
      <c r="AT270" s="111">
        <f t="shared" si="93"/>
        <v>-19911.576516149642</v>
      </c>
      <c r="AU270" s="121"/>
      <c r="AV270" s="111"/>
      <c r="AW270" s="111"/>
      <c r="AX270" s="111"/>
      <c r="AY270" s="116"/>
      <c r="AZ270" s="172">
        <f t="shared" si="95"/>
        <v>0</v>
      </c>
      <c r="BA270" s="130">
        <v>131641.17</v>
      </c>
    </row>
    <row r="271" spans="1:53" ht="12.75">
      <c r="A271" s="1">
        <v>258</v>
      </c>
      <c r="B271" s="84" t="s">
        <v>277</v>
      </c>
      <c r="C271" s="1">
        <v>531.2</v>
      </c>
      <c r="D271" s="1">
        <v>0</v>
      </c>
      <c r="E271" s="7">
        <f t="shared" si="84"/>
        <v>531.2</v>
      </c>
      <c r="F271" s="5">
        <v>2.9</v>
      </c>
      <c r="G271" s="5">
        <v>6.98</v>
      </c>
      <c r="H271" s="5">
        <f t="shared" si="85"/>
        <v>9.88</v>
      </c>
      <c r="I271" s="28">
        <f t="shared" si="86"/>
        <v>31489.536000000007</v>
      </c>
      <c r="J271" s="5">
        <f t="shared" si="87"/>
        <v>3.101611830899999</v>
      </c>
      <c r="K271" s="5">
        <f t="shared" si="87"/>
        <v>7.465258820579999</v>
      </c>
      <c r="L271" s="27">
        <f t="shared" si="88"/>
        <v>10.566870651479999</v>
      </c>
      <c r="M271" s="61">
        <f t="shared" si="89"/>
        <v>33678.730140397056</v>
      </c>
      <c r="N271" s="34">
        <f t="shared" si="90"/>
        <v>65168.26614039706</v>
      </c>
      <c r="O271" s="34"/>
      <c r="P271" s="34"/>
      <c r="Q271" s="5">
        <f t="shared" si="91"/>
        <v>65168.26614039706</v>
      </c>
      <c r="R271" s="30">
        <f t="shared" si="92"/>
        <v>65168.26614039706</v>
      </c>
      <c r="S271" s="1">
        <v>2562.6</v>
      </c>
      <c r="T271" s="1">
        <v>4221.81</v>
      </c>
      <c r="U271" s="1">
        <v>2941.28</v>
      </c>
      <c r="V271" s="1">
        <v>4134.7</v>
      </c>
      <c r="W271" s="1">
        <v>3075.5</v>
      </c>
      <c r="X271" s="1">
        <v>20638.68</v>
      </c>
      <c r="Y271" s="1">
        <v>18739.26</v>
      </c>
      <c r="Z271" s="1">
        <v>2716.47</v>
      </c>
      <c r="AA271" s="1">
        <v>26879.84</v>
      </c>
      <c r="AB271" s="1">
        <v>1269.3</v>
      </c>
      <c r="AC271" s="165">
        <f t="shared" si="96"/>
        <v>87179.44</v>
      </c>
      <c r="AD271" s="1">
        <v>1512.81</v>
      </c>
      <c r="AE271" s="1">
        <v>640.66</v>
      </c>
      <c r="AF271" s="1">
        <v>3118.46</v>
      </c>
      <c r="AG271" s="1">
        <v>1400.58</v>
      </c>
      <c r="AH271" s="1">
        <v>8366.74</v>
      </c>
      <c r="AI271" s="1">
        <v>1400.58</v>
      </c>
      <c r="AJ271" s="6">
        <f t="shared" si="94"/>
        <v>103619.27000000002</v>
      </c>
      <c r="AK271" s="1"/>
      <c r="AL271" s="1"/>
      <c r="AM271" s="1">
        <v>1137.34</v>
      </c>
      <c r="AN271" s="1"/>
      <c r="AO271" s="6">
        <f aca="true" t="shared" si="97" ref="AO271:AO284">AJ271+AK271+AL271+AM271+AN271</f>
        <v>104756.61000000002</v>
      </c>
      <c r="AP271" s="136">
        <f t="shared" si="81"/>
        <v>-39588.34385960295</v>
      </c>
      <c r="AQ271" s="110">
        <v>-6603.85</v>
      </c>
      <c r="AR271" s="110">
        <v>305.63</v>
      </c>
      <c r="AS271" s="111"/>
      <c r="AT271" s="111">
        <f t="shared" si="93"/>
        <v>-45886.56385960295</v>
      </c>
      <c r="AU271" s="121"/>
      <c r="AV271" s="111"/>
      <c r="AW271" s="111"/>
      <c r="AX271" s="111"/>
      <c r="AY271" s="116"/>
      <c r="AZ271" s="172">
        <f t="shared" si="95"/>
        <v>0</v>
      </c>
      <c r="BA271" s="130">
        <v>226832.57</v>
      </c>
    </row>
    <row r="272" spans="1:53" ht="12.75">
      <c r="A272" s="1">
        <v>259</v>
      </c>
      <c r="B272" s="84" t="s">
        <v>278</v>
      </c>
      <c r="C272" s="1">
        <v>529.3</v>
      </c>
      <c r="D272" s="1">
        <v>0</v>
      </c>
      <c r="E272" s="7">
        <f t="shared" si="84"/>
        <v>529.3</v>
      </c>
      <c r="F272" s="5">
        <v>2.9</v>
      </c>
      <c r="G272" s="5">
        <v>6.98</v>
      </c>
      <c r="H272" s="5">
        <f t="shared" si="85"/>
        <v>9.88</v>
      </c>
      <c r="I272" s="28">
        <f t="shared" si="86"/>
        <v>31376.904000000002</v>
      </c>
      <c r="J272" s="5">
        <f t="shared" si="87"/>
        <v>3.101611830899999</v>
      </c>
      <c r="K272" s="5">
        <f t="shared" si="87"/>
        <v>7.465258820579999</v>
      </c>
      <c r="L272" s="27">
        <f t="shared" si="88"/>
        <v>10.566870651479999</v>
      </c>
      <c r="M272" s="61">
        <f t="shared" si="89"/>
        <v>33558.267814970175</v>
      </c>
      <c r="N272" s="34">
        <f t="shared" si="90"/>
        <v>64935.17181497018</v>
      </c>
      <c r="O272" s="34"/>
      <c r="P272" s="34"/>
      <c r="Q272" s="5">
        <f t="shared" si="91"/>
        <v>64935.17181497018</v>
      </c>
      <c r="R272" s="30">
        <f t="shared" si="92"/>
        <v>64935.17181497018</v>
      </c>
      <c r="S272" s="1">
        <v>2454.34</v>
      </c>
      <c r="T272" s="1">
        <v>3780.6</v>
      </c>
      <c r="U272" s="1">
        <v>3400.8</v>
      </c>
      <c r="V272" s="1">
        <v>2377.46</v>
      </c>
      <c r="W272" s="1">
        <v>2377.46</v>
      </c>
      <c r="X272" s="1">
        <v>2377.46</v>
      </c>
      <c r="Y272" s="1">
        <v>2530.81</v>
      </c>
      <c r="Z272" s="1">
        <v>2530.81</v>
      </c>
      <c r="AA272" s="1">
        <v>84751.5</v>
      </c>
      <c r="AB272" s="1">
        <v>1088.55</v>
      </c>
      <c r="AC272" s="165">
        <f t="shared" si="96"/>
        <v>107669.79000000001</v>
      </c>
      <c r="AD272" s="1">
        <v>2585.6</v>
      </c>
      <c r="AE272" s="1">
        <v>638.48</v>
      </c>
      <c r="AF272" s="1">
        <v>3113.99</v>
      </c>
      <c r="AG272" s="1">
        <v>1219.39</v>
      </c>
      <c r="AH272" s="1">
        <v>2147.63</v>
      </c>
      <c r="AI272" s="1">
        <v>1219.39</v>
      </c>
      <c r="AJ272" s="6">
        <f t="shared" si="94"/>
        <v>118594.27000000002</v>
      </c>
      <c r="AK272" s="1">
        <f>2770</f>
        <v>2770</v>
      </c>
      <c r="AL272" s="1"/>
      <c r="AM272" s="1"/>
      <c r="AN272" s="1"/>
      <c r="AO272" s="6">
        <f t="shared" si="97"/>
        <v>121364.27000000002</v>
      </c>
      <c r="AP272" s="136">
        <f t="shared" si="81"/>
        <v>-56429.09818502984</v>
      </c>
      <c r="AQ272" s="110"/>
      <c r="AR272" s="110">
        <v>6957.25</v>
      </c>
      <c r="AS272" s="111"/>
      <c r="AT272" s="111">
        <f t="shared" si="93"/>
        <v>-49471.84818502984</v>
      </c>
      <c r="AU272" s="121">
        <v>2231</v>
      </c>
      <c r="AV272" s="111"/>
      <c r="AW272" s="111"/>
      <c r="AX272" s="111">
        <f>AU272-AV272</f>
        <v>2231</v>
      </c>
      <c r="AY272" s="116">
        <v>645.23</v>
      </c>
      <c r="AZ272" s="172">
        <f t="shared" si="95"/>
        <v>1585.77</v>
      </c>
      <c r="BA272" s="130">
        <v>164015.31</v>
      </c>
    </row>
    <row r="273" spans="1:53" ht="12.75">
      <c r="A273" s="1">
        <v>260</v>
      </c>
      <c r="B273" s="84" t="s">
        <v>279</v>
      </c>
      <c r="C273" s="1">
        <v>400.1</v>
      </c>
      <c r="D273" s="1">
        <v>0</v>
      </c>
      <c r="E273" s="7">
        <f t="shared" si="84"/>
        <v>400.1</v>
      </c>
      <c r="F273" s="5">
        <v>2.9</v>
      </c>
      <c r="G273" s="5">
        <v>6.98</v>
      </c>
      <c r="H273" s="5">
        <f aca="true" t="shared" si="98" ref="H273:H284">F273+G273</f>
        <v>9.88</v>
      </c>
      <c r="I273" s="28">
        <f aca="true" t="shared" si="99" ref="I273:I284">E273*H273*6</f>
        <v>23717.928000000004</v>
      </c>
      <c r="J273" s="5">
        <f aca="true" t="shared" si="100" ref="J273:J284">F273*1.067*1.002363</f>
        <v>3.101611830899999</v>
      </c>
      <c r="K273" s="5">
        <f aca="true" t="shared" si="101" ref="K273:K284">G273*1.067*1.002363</f>
        <v>7.465258820579999</v>
      </c>
      <c r="L273" s="27">
        <f aca="true" t="shared" si="102" ref="L273:L284">J273+K273</f>
        <v>10.566870651479999</v>
      </c>
      <c r="M273" s="61">
        <f aca="true" t="shared" si="103" ref="M273:M284">L273*E273*6</f>
        <v>25366.82968594289</v>
      </c>
      <c r="N273" s="34">
        <f aca="true" t="shared" si="104" ref="N273:N284">I273+M273</f>
        <v>49084.757685942895</v>
      </c>
      <c r="O273" s="34"/>
      <c r="P273" s="34"/>
      <c r="Q273" s="5">
        <f aca="true" t="shared" si="105" ref="Q273:Q284">N273-O273</f>
        <v>49084.757685942895</v>
      </c>
      <c r="R273" s="30">
        <f aca="true" t="shared" si="106" ref="R273:R336">Q273+P273</f>
        <v>49084.757685942895</v>
      </c>
      <c r="S273" s="1">
        <v>1843.31</v>
      </c>
      <c r="T273" s="1">
        <v>3246.45</v>
      </c>
      <c r="U273" s="1">
        <v>24644.89</v>
      </c>
      <c r="V273" s="1">
        <v>1843.31</v>
      </c>
      <c r="W273" s="1">
        <v>2322.78</v>
      </c>
      <c r="X273" s="1">
        <v>1843.31</v>
      </c>
      <c r="Y273" s="1">
        <v>1959.43</v>
      </c>
      <c r="Z273" s="1">
        <v>4707.52</v>
      </c>
      <c r="AA273" s="1">
        <v>4062.04</v>
      </c>
      <c r="AB273" s="1">
        <v>867.37</v>
      </c>
      <c r="AC273" s="165">
        <f t="shared" si="96"/>
        <v>47340.41</v>
      </c>
      <c r="AD273" s="1">
        <v>3402.94</v>
      </c>
      <c r="AE273" s="1">
        <v>483.45</v>
      </c>
      <c r="AF273" s="1">
        <v>2795.56</v>
      </c>
      <c r="AG273" s="1">
        <v>966.44</v>
      </c>
      <c r="AH273" s="1">
        <v>1829.2</v>
      </c>
      <c r="AI273" s="1">
        <v>1807.28</v>
      </c>
      <c r="AJ273" s="6">
        <f t="shared" si="94"/>
        <v>58625.28</v>
      </c>
      <c r="AK273" s="1"/>
      <c r="AL273" s="1"/>
      <c r="AM273" s="1"/>
      <c r="AN273" s="1"/>
      <c r="AO273" s="6">
        <f t="shared" si="97"/>
        <v>58625.28</v>
      </c>
      <c r="AP273" s="136">
        <f t="shared" si="81"/>
        <v>-9540.522314057103</v>
      </c>
      <c r="AQ273" s="110">
        <v>-4263.64</v>
      </c>
      <c r="AR273" s="110">
        <v>-232.27</v>
      </c>
      <c r="AS273" s="111"/>
      <c r="AT273" s="111">
        <f t="shared" si="93"/>
        <v>-14036.432314057103</v>
      </c>
      <c r="AU273" s="133"/>
      <c r="AV273" s="111"/>
      <c r="AW273" s="111"/>
      <c r="AX273" s="111"/>
      <c r="AY273" s="134"/>
      <c r="AZ273" s="172">
        <f t="shared" si="95"/>
        <v>0</v>
      </c>
      <c r="BA273" s="127">
        <v>8625.96</v>
      </c>
    </row>
    <row r="274" spans="1:53" ht="12.75">
      <c r="A274" s="1">
        <v>261</v>
      </c>
      <c r="B274" s="84" t="s">
        <v>280</v>
      </c>
      <c r="C274" s="1">
        <v>5925.6</v>
      </c>
      <c r="D274" s="1">
        <v>0</v>
      </c>
      <c r="E274" s="7">
        <f t="shared" si="84"/>
        <v>5925.6</v>
      </c>
      <c r="F274" s="5">
        <v>2.9</v>
      </c>
      <c r="G274" s="5">
        <v>7.85</v>
      </c>
      <c r="H274" s="5">
        <f t="shared" si="98"/>
        <v>10.75</v>
      </c>
      <c r="I274" s="28">
        <f t="shared" si="99"/>
        <v>382201.2</v>
      </c>
      <c r="J274" s="5">
        <f t="shared" si="100"/>
        <v>3.101611830899999</v>
      </c>
      <c r="K274" s="5">
        <f t="shared" si="101"/>
        <v>8.395742369849998</v>
      </c>
      <c r="L274" s="27">
        <f t="shared" si="102"/>
        <v>11.497354200749998</v>
      </c>
      <c r="M274" s="61">
        <f t="shared" si="103"/>
        <v>408772.3323117851</v>
      </c>
      <c r="N274" s="34">
        <f t="shared" si="104"/>
        <v>790973.532311785</v>
      </c>
      <c r="O274" s="34"/>
      <c r="P274" s="34"/>
      <c r="Q274" s="5">
        <f t="shared" si="105"/>
        <v>790973.532311785</v>
      </c>
      <c r="R274" s="30">
        <f t="shared" si="106"/>
        <v>790973.532311785</v>
      </c>
      <c r="S274" s="1">
        <v>39633.54</v>
      </c>
      <c r="T274" s="1">
        <v>51707.71</v>
      </c>
      <c r="U274" s="1">
        <v>30893.02</v>
      </c>
      <c r="V274" s="1">
        <v>39664.87</v>
      </c>
      <c r="W274" s="1">
        <v>50018.09</v>
      </c>
      <c r="X274" s="1">
        <v>36006.85</v>
      </c>
      <c r="Y274" s="1">
        <v>44366</v>
      </c>
      <c r="Z274" s="1">
        <v>44478.63</v>
      </c>
      <c r="AA274" s="1">
        <v>37210.71</v>
      </c>
      <c r="AB274" s="1">
        <v>10436.82</v>
      </c>
      <c r="AC274" s="165">
        <f t="shared" si="96"/>
        <v>384416.24000000005</v>
      </c>
      <c r="AD274" s="1">
        <v>228148.52</v>
      </c>
      <c r="AE274" s="1">
        <v>10262.79</v>
      </c>
      <c r="AF274" s="1">
        <v>223980.94</v>
      </c>
      <c r="AG274" s="1">
        <v>13212.53</v>
      </c>
      <c r="AH274" s="1">
        <v>18107.64</v>
      </c>
      <c r="AI274" s="1">
        <v>11910.38</v>
      </c>
      <c r="AJ274" s="6">
        <f t="shared" si="94"/>
        <v>890039.04</v>
      </c>
      <c r="AK274" s="1"/>
      <c r="AL274" s="1"/>
      <c r="AM274" s="1"/>
      <c r="AN274" s="1"/>
      <c r="AO274" s="6">
        <f t="shared" si="97"/>
        <v>890039.04</v>
      </c>
      <c r="AP274" s="91">
        <f t="shared" si="81"/>
        <v>-99065.507688215</v>
      </c>
      <c r="AQ274" s="10">
        <v>171369.42</v>
      </c>
      <c r="AR274" s="10">
        <v>158364.02</v>
      </c>
      <c r="AS274" s="34"/>
      <c r="AT274" s="34">
        <f t="shared" si="93"/>
        <v>230667.932311785</v>
      </c>
      <c r="AU274" s="116"/>
      <c r="AV274" s="34">
        <f>3966.2*4+450</f>
        <v>16314.8</v>
      </c>
      <c r="AW274" s="116"/>
      <c r="AX274" s="116">
        <f>AT274+AU274-AV274-AW274</f>
        <v>214353.132311785</v>
      </c>
      <c r="AY274" s="116">
        <v>62123.6</v>
      </c>
      <c r="AZ274" s="172">
        <f t="shared" si="95"/>
        <v>152229.532311785</v>
      </c>
      <c r="BA274" s="130">
        <v>1151766.29</v>
      </c>
    </row>
    <row r="275" spans="1:53" ht="12.75">
      <c r="A275" s="1">
        <v>262</v>
      </c>
      <c r="B275" s="84" t="s">
        <v>281</v>
      </c>
      <c r="C275" s="1">
        <v>3834.5</v>
      </c>
      <c r="D275" s="1">
        <v>0</v>
      </c>
      <c r="E275" s="7">
        <f t="shared" si="84"/>
        <v>3834.5</v>
      </c>
      <c r="F275" s="5">
        <v>2.9</v>
      </c>
      <c r="G275" s="5">
        <v>7.85</v>
      </c>
      <c r="H275" s="5">
        <f t="shared" si="98"/>
        <v>10.75</v>
      </c>
      <c r="I275" s="28">
        <f t="shared" si="99"/>
        <v>247325.25</v>
      </c>
      <c r="J275" s="5">
        <f t="shared" si="100"/>
        <v>3.101611830899999</v>
      </c>
      <c r="K275" s="5">
        <f t="shared" si="101"/>
        <v>8.395742369849998</v>
      </c>
      <c r="L275" s="27">
        <f t="shared" si="102"/>
        <v>11.497354200749998</v>
      </c>
      <c r="M275" s="61">
        <f t="shared" si="103"/>
        <v>264519.62809665524</v>
      </c>
      <c r="N275" s="34">
        <f t="shared" si="104"/>
        <v>511844.87809665524</v>
      </c>
      <c r="O275" s="34">
        <v>111479.78</v>
      </c>
      <c r="P275" s="34"/>
      <c r="Q275" s="5">
        <f t="shared" si="105"/>
        <v>400365.0980966552</v>
      </c>
      <c r="R275" s="30">
        <f t="shared" si="106"/>
        <v>400365.0980966552</v>
      </c>
      <c r="S275" s="1">
        <v>26619.54</v>
      </c>
      <c r="T275" s="1">
        <v>21093.75</v>
      </c>
      <c r="U275" s="1">
        <v>41629.39</v>
      </c>
      <c r="V275" s="1">
        <v>23177.5</v>
      </c>
      <c r="W275" s="1">
        <v>18136.9</v>
      </c>
      <c r="X275" s="1">
        <v>32206.89</v>
      </c>
      <c r="Y275" s="1">
        <v>42673.37</v>
      </c>
      <c r="Z275" s="1">
        <v>28240.01</v>
      </c>
      <c r="AA275" s="1">
        <v>19356.45</v>
      </c>
      <c r="AB275" s="1">
        <v>6782.89</v>
      </c>
      <c r="AC275" s="165">
        <f t="shared" si="96"/>
        <v>259916.69</v>
      </c>
      <c r="AD275" s="1">
        <v>16049.13</v>
      </c>
      <c r="AE275" s="1">
        <v>11747.22</v>
      </c>
      <c r="AF275" s="1">
        <v>19955.22</v>
      </c>
      <c r="AG275" s="1">
        <v>21040.09</v>
      </c>
      <c r="AH275" s="1">
        <v>29807.66</v>
      </c>
      <c r="AI275" s="1">
        <v>15284.12</v>
      </c>
      <c r="AJ275" s="6">
        <f t="shared" si="94"/>
        <v>373800.13</v>
      </c>
      <c r="AK275" s="1"/>
      <c r="AL275" s="1"/>
      <c r="AM275" s="1"/>
      <c r="AN275" s="1"/>
      <c r="AO275" s="6">
        <f t="shared" si="97"/>
        <v>373800.13</v>
      </c>
      <c r="AP275" s="91">
        <f t="shared" si="81"/>
        <v>26564.96809665521</v>
      </c>
      <c r="AQ275" s="10"/>
      <c r="AR275" s="10"/>
      <c r="AS275" s="34">
        <v>42500</v>
      </c>
      <c r="AT275" s="116">
        <f t="shared" si="93"/>
        <v>69064.96809665521</v>
      </c>
      <c r="AU275" s="116"/>
      <c r="AV275" s="116"/>
      <c r="AW275" s="116">
        <v>2180.5</v>
      </c>
      <c r="AX275" s="116">
        <f>AT275+AU275-AV275-AW275</f>
        <v>66884.46809665521</v>
      </c>
      <c r="AY275" s="116">
        <v>19343.78</v>
      </c>
      <c r="AZ275" s="172">
        <f t="shared" si="95"/>
        <v>47540.68809665521</v>
      </c>
      <c r="BA275" s="130">
        <v>135311.72</v>
      </c>
    </row>
    <row r="276" spans="1:53" ht="15.75" customHeight="1">
      <c r="A276" s="1">
        <v>263</v>
      </c>
      <c r="B276" s="1" t="s">
        <v>284</v>
      </c>
      <c r="C276" s="1">
        <v>479.7</v>
      </c>
      <c r="D276" s="1">
        <v>0</v>
      </c>
      <c r="E276" s="7">
        <f t="shared" si="84"/>
        <v>479.7</v>
      </c>
      <c r="F276" s="5">
        <v>2.9</v>
      </c>
      <c r="G276" s="5">
        <v>3.37</v>
      </c>
      <c r="H276" s="5">
        <f t="shared" si="98"/>
        <v>6.27</v>
      </c>
      <c r="I276" s="28">
        <f t="shared" si="99"/>
        <v>18046.314</v>
      </c>
      <c r="J276" s="5">
        <f t="shared" si="100"/>
        <v>3.101611830899999</v>
      </c>
      <c r="K276" s="5">
        <f t="shared" si="101"/>
        <v>3.6042868517699995</v>
      </c>
      <c r="L276" s="27">
        <f t="shared" si="102"/>
        <v>6.705898682669998</v>
      </c>
      <c r="M276" s="61">
        <f t="shared" si="103"/>
        <v>19300.91758846079</v>
      </c>
      <c r="N276" s="34">
        <f t="shared" si="104"/>
        <v>37347.23158846079</v>
      </c>
      <c r="O276" s="34"/>
      <c r="P276" s="34"/>
      <c r="Q276" s="5">
        <f t="shared" si="105"/>
        <v>37347.23158846079</v>
      </c>
      <c r="R276" s="30">
        <f t="shared" si="106"/>
        <v>37347.23158846079</v>
      </c>
      <c r="S276" s="1">
        <v>1060.3</v>
      </c>
      <c r="T276" s="1">
        <v>3161.94</v>
      </c>
      <c r="U276" s="1">
        <v>1060.3</v>
      </c>
      <c r="V276" s="1">
        <v>1060.3</v>
      </c>
      <c r="W276" s="1">
        <v>1060.3</v>
      </c>
      <c r="X276" s="1">
        <v>1060.3</v>
      </c>
      <c r="Y276" s="1">
        <v>1122.66</v>
      </c>
      <c r="Z276" s="1">
        <v>1363.19</v>
      </c>
      <c r="AA276" s="1">
        <v>40926.31</v>
      </c>
      <c r="AB276" s="1">
        <v>1799.16</v>
      </c>
      <c r="AC276" s="165">
        <f t="shared" si="96"/>
        <v>53674.76</v>
      </c>
      <c r="AD276" s="1">
        <v>0</v>
      </c>
      <c r="AE276" s="1">
        <v>1962.35</v>
      </c>
      <c r="AF276" s="1"/>
      <c r="AG276" s="1">
        <v>2716.05</v>
      </c>
      <c r="AH276" s="1">
        <v>0</v>
      </c>
      <c r="AI276" s="1">
        <v>2872.66</v>
      </c>
      <c r="AJ276" s="6">
        <f t="shared" si="94"/>
        <v>61225.82000000001</v>
      </c>
      <c r="AK276" s="1"/>
      <c r="AL276" s="1"/>
      <c r="AM276" s="1"/>
      <c r="AN276" s="1"/>
      <c r="AO276" s="6">
        <f t="shared" si="97"/>
        <v>61225.82000000001</v>
      </c>
      <c r="AP276" s="136">
        <f t="shared" si="81"/>
        <v>-23878.58841153922</v>
      </c>
      <c r="AQ276" s="110">
        <v>13267.21</v>
      </c>
      <c r="AR276" s="110">
        <v>-26988</v>
      </c>
      <c r="AS276" s="111"/>
      <c r="AT276" s="111">
        <f t="shared" si="93"/>
        <v>-37599.37841153922</v>
      </c>
      <c r="AU276" s="121"/>
      <c r="AV276" s="111"/>
      <c r="AW276" s="111"/>
      <c r="AX276" s="111"/>
      <c r="AY276" s="116"/>
      <c r="AZ276" s="172">
        <f t="shared" si="95"/>
        <v>0</v>
      </c>
      <c r="BA276" s="130">
        <v>155706.06</v>
      </c>
    </row>
    <row r="277" spans="1:53" ht="15" customHeight="1">
      <c r="A277" s="1">
        <v>264</v>
      </c>
      <c r="B277" s="1" t="s">
        <v>285</v>
      </c>
      <c r="C277" s="1">
        <v>478.9</v>
      </c>
      <c r="D277" s="1">
        <v>0</v>
      </c>
      <c r="E277" s="7">
        <f t="shared" si="84"/>
        <v>478.9</v>
      </c>
      <c r="F277" s="5">
        <v>2.9</v>
      </c>
      <c r="G277" s="5">
        <v>3.37</v>
      </c>
      <c r="H277" s="5">
        <f t="shared" si="98"/>
        <v>6.27</v>
      </c>
      <c r="I277" s="28">
        <f t="shared" si="99"/>
        <v>18016.217999999997</v>
      </c>
      <c r="J277" s="5">
        <f t="shared" si="100"/>
        <v>3.101611830899999</v>
      </c>
      <c r="K277" s="5">
        <f t="shared" si="101"/>
        <v>3.6042868517699995</v>
      </c>
      <c r="L277" s="27">
        <f t="shared" si="102"/>
        <v>6.705898682669998</v>
      </c>
      <c r="M277" s="61">
        <f t="shared" si="103"/>
        <v>19268.72927478397</v>
      </c>
      <c r="N277" s="34">
        <f t="shared" si="104"/>
        <v>37284.94727478397</v>
      </c>
      <c r="O277" s="34"/>
      <c r="P277" s="34"/>
      <c r="Q277" s="5">
        <f t="shared" si="105"/>
        <v>37284.94727478397</v>
      </c>
      <c r="R277" s="30">
        <f t="shared" si="106"/>
        <v>37284.94727478397</v>
      </c>
      <c r="S277" s="1">
        <v>1058.83</v>
      </c>
      <c r="T277" s="1">
        <v>3160.47</v>
      </c>
      <c r="U277" s="1">
        <v>1058.83</v>
      </c>
      <c r="V277" s="1">
        <v>12628.06</v>
      </c>
      <c r="W277" s="1">
        <v>1058.83</v>
      </c>
      <c r="X277" s="1">
        <v>1058.83</v>
      </c>
      <c r="Y277" s="1">
        <v>1121.08</v>
      </c>
      <c r="Z277" s="1">
        <v>1361.61</v>
      </c>
      <c r="AA277" s="1">
        <v>28229.11</v>
      </c>
      <c r="AB277" s="1">
        <v>1677.19</v>
      </c>
      <c r="AC277" s="165">
        <f t="shared" si="96"/>
        <v>52412.840000000004</v>
      </c>
      <c r="AD277" s="1">
        <v>0</v>
      </c>
      <c r="AE277" s="1">
        <v>578.23</v>
      </c>
      <c r="AF277" s="1"/>
      <c r="AG277" s="1">
        <v>1121.08</v>
      </c>
      <c r="AH277" s="1">
        <v>0</v>
      </c>
      <c r="AI277" s="1">
        <v>2871.08</v>
      </c>
      <c r="AJ277" s="6">
        <f t="shared" si="94"/>
        <v>56983.23000000001</v>
      </c>
      <c r="AK277" s="1"/>
      <c r="AL277" s="1"/>
      <c r="AM277" s="1"/>
      <c r="AN277" s="1"/>
      <c r="AO277" s="6">
        <f t="shared" si="97"/>
        <v>56983.23000000001</v>
      </c>
      <c r="AP277" s="136">
        <f t="shared" si="81"/>
        <v>-19698.282725216042</v>
      </c>
      <c r="AQ277" s="110"/>
      <c r="AR277" s="110">
        <v>6104.99</v>
      </c>
      <c r="AS277" s="111"/>
      <c r="AT277" s="111">
        <f t="shared" si="93"/>
        <v>-13593.292725216043</v>
      </c>
      <c r="AU277" s="121"/>
      <c r="AV277" s="111"/>
      <c r="AW277" s="111"/>
      <c r="AX277" s="111"/>
      <c r="AY277" s="116"/>
      <c r="AZ277" s="172">
        <f t="shared" si="95"/>
        <v>0</v>
      </c>
      <c r="BA277" s="130">
        <v>174632.15</v>
      </c>
    </row>
    <row r="278" spans="1:53" ht="12.75">
      <c r="A278" s="1">
        <v>265</v>
      </c>
      <c r="B278" s="84" t="s">
        <v>286</v>
      </c>
      <c r="C278" s="1">
        <v>3375.8</v>
      </c>
      <c r="D278" s="1">
        <v>124.1</v>
      </c>
      <c r="E278" s="7">
        <f t="shared" si="84"/>
        <v>3499.9</v>
      </c>
      <c r="F278" s="5">
        <v>2.9</v>
      </c>
      <c r="G278" s="5">
        <v>7.85</v>
      </c>
      <c r="H278" s="5">
        <f t="shared" si="98"/>
        <v>10.75</v>
      </c>
      <c r="I278" s="28">
        <f t="shared" si="99"/>
        <v>225743.55000000002</v>
      </c>
      <c r="J278" s="5">
        <f t="shared" si="100"/>
        <v>3.101611830899999</v>
      </c>
      <c r="K278" s="5">
        <f t="shared" si="101"/>
        <v>8.395742369849998</v>
      </c>
      <c r="L278" s="27">
        <f t="shared" si="102"/>
        <v>11.497354200749998</v>
      </c>
      <c r="M278" s="61">
        <f t="shared" si="103"/>
        <v>241437.5398032295</v>
      </c>
      <c r="N278" s="34">
        <f t="shared" si="104"/>
        <v>467181.08980322955</v>
      </c>
      <c r="O278" s="34"/>
      <c r="P278" s="34"/>
      <c r="Q278" s="5">
        <f t="shared" si="105"/>
        <v>467181.08980322955</v>
      </c>
      <c r="R278" s="30">
        <f t="shared" si="106"/>
        <v>467181.08980322955</v>
      </c>
      <c r="S278" s="1">
        <v>20018.8</v>
      </c>
      <c r="T278" s="1">
        <v>19496.68</v>
      </c>
      <c r="U278" s="1">
        <v>19246.09</v>
      </c>
      <c r="V278" s="1">
        <v>41165.58</v>
      </c>
      <c r="W278" s="1">
        <v>46267.78</v>
      </c>
      <c r="X278" s="1">
        <v>26967.91</v>
      </c>
      <c r="Y278" s="1">
        <v>38561.43</v>
      </c>
      <c r="Z278" s="1">
        <v>23172.33</v>
      </c>
      <c r="AA278" s="1">
        <v>49352.53</v>
      </c>
      <c r="AB278" s="1">
        <v>14050.34</v>
      </c>
      <c r="AC278" s="165">
        <f t="shared" si="96"/>
        <v>298299.47000000003</v>
      </c>
      <c r="AD278" s="1">
        <v>7771.68</v>
      </c>
      <c r="AE278" s="1">
        <v>4225.85</v>
      </c>
      <c r="AF278" s="1">
        <v>11727.91</v>
      </c>
      <c r="AG278" s="1">
        <v>14690.77</v>
      </c>
      <c r="AH278" s="1">
        <v>20984.42</v>
      </c>
      <c r="AI278" s="1">
        <v>12728.07</v>
      </c>
      <c r="AJ278" s="6">
        <f t="shared" si="94"/>
        <v>370428.17</v>
      </c>
      <c r="AK278" s="1"/>
      <c r="AL278" s="1"/>
      <c r="AM278" s="1"/>
      <c r="AN278" s="1"/>
      <c r="AO278" s="6">
        <f t="shared" si="97"/>
        <v>370428.17</v>
      </c>
      <c r="AP278" s="91">
        <f t="shared" si="81"/>
        <v>96752.91980322957</v>
      </c>
      <c r="AQ278" s="10"/>
      <c r="AR278" s="10">
        <v>-12278.28</v>
      </c>
      <c r="AS278" s="34"/>
      <c r="AT278" s="116">
        <f t="shared" si="93"/>
        <v>84474.63980322957</v>
      </c>
      <c r="AU278" s="116">
        <v>8314</v>
      </c>
      <c r="AV278" s="161">
        <f>2222.86*4+50574</f>
        <v>59465.44</v>
      </c>
      <c r="AW278" s="116">
        <v>3401</v>
      </c>
      <c r="AX278" s="116">
        <f>AT278+AU278-AV278-AW278</f>
        <v>29922.199803229567</v>
      </c>
      <c r="AY278" s="116">
        <v>9637.46</v>
      </c>
      <c r="AZ278" s="172">
        <f t="shared" si="95"/>
        <v>20284.739803229568</v>
      </c>
      <c r="BA278" s="130">
        <v>346775.67</v>
      </c>
    </row>
    <row r="279" spans="1:53" ht="12.75">
      <c r="A279" s="1">
        <v>266</v>
      </c>
      <c r="B279" s="1" t="s">
        <v>287</v>
      </c>
      <c r="C279" s="1">
        <v>643.2</v>
      </c>
      <c r="D279" s="1">
        <v>0</v>
      </c>
      <c r="E279" s="7">
        <f t="shared" si="84"/>
        <v>643.2</v>
      </c>
      <c r="F279" s="5">
        <v>2.9</v>
      </c>
      <c r="G279" s="5">
        <v>7.18</v>
      </c>
      <c r="H279" s="5">
        <f t="shared" si="98"/>
        <v>10.08</v>
      </c>
      <c r="I279" s="28">
        <f t="shared" si="99"/>
        <v>38900.736000000004</v>
      </c>
      <c r="J279" s="5">
        <f t="shared" si="100"/>
        <v>3.101611830899999</v>
      </c>
      <c r="K279" s="5">
        <f t="shared" si="101"/>
        <v>7.679163084779998</v>
      </c>
      <c r="L279" s="27">
        <f t="shared" si="102"/>
        <v>10.780774915679997</v>
      </c>
      <c r="M279" s="61">
        <f t="shared" si="103"/>
        <v>41605.166554592244</v>
      </c>
      <c r="N279" s="34">
        <f t="shared" si="104"/>
        <v>80505.90255459225</v>
      </c>
      <c r="O279" s="34"/>
      <c r="P279" s="34"/>
      <c r="Q279" s="5">
        <f t="shared" si="105"/>
        <v>80505.90255459225</v>
      </c>
      <c r="R279" s="30">
        <f t="shared" si="106"/>
        <v>80505.90255459225</v>
      </c>
      <c r="S279" s="1">
        <v>4078.81</v>
      </c>
      <c r="T279" s="1">
        <v>3275.66</v>
      </c>
      <c r="U279" s="1">
        <v>3207.87</v>
      </c>
      <c r="V279" s="1">
        <v>5350.78</v>
      </c>
      <c r="W279" s="1">
        <v>3362.07</v>
      </c>
      <c r="X279" s="1">
        <v>3362.07</v>
      </c>
      <c r="Y279" s="1">
        <v>5300.81</v>
      </c>
      <c r="Z279" s="1">
        <v>3440.37</v>
      </c>
      <c r="AA279" s="1">
        <v>3548.6</v>
      </c>
      <c r="AB279" s="1">
        <v>1794.32</v>
      </c>
      <c r="AC279" s="165">
        <f t="shared" si="96"/>
        <v>36721.36</v>
      </c>
      <c r="AD279" s="1">
        <v>0</v>
      </c>
      <c r="AE279" s="1">
        <v>1754.28</v>
      </c>
      <c r="AF279" s="1"/>
      <c r="AG279" s="1">
        <v>3039.89</v>
      </c>
      <c r="AH279" s="1">
        <v>0</v>
      </c>
      <c r="AI279" s="1">
        <v>3311.1</v>
      </c>
      <c r="AJ279" s="6">
        <f t="shared" si="94"/>
        <v>44826.63</v>
      </c>
      <c r="AK279" s="1"/>
      <c r="AL279" s="1"/>
      <c r="AM279" s="1"/>
      <c r="AN279" s="1"/>
      <c r="AO279" s="6">
        <f t="shared" si="97"/>
        <v>44826.63</v>
      </c>
      <c r="AP279" s="91">
        <f t="shared" si="81"/>
        <v>35679.27255459225</v>
      </c>
      <c r="AQ279" s="10"/>
      <c r="AR279" s="10">
        <v>10069.13</v>
      </c>
      <c r="AS279" s="34"/>
      <c r="AT279" s="116">
        <f t="shared" si="93"/>
        <v>45748.40255459225</v>
      </c>
      <c r="AU279" s="116"/>
      <c r="AV279" s="116"/>
      <c r="AW279" s="116"/>
      <c r="AX279" s="116">
        <f>AT279+AU279-AV279-AW279</f>
        <v>45748.40255459225</v>
      </c>
      <c r="AY279" s="116">
        <v>13230.98</v>
      </c>
      <c r="AZ279" s="172">
        <f t="shared" si="95"/>
        <v>32517.42255459225</v>
      </c>
      <c r="BA279" s="130">
        <v>37506.2</v>
      </c>
    </row>
    <row r="280" spans="1:53" ht="12.75">
      <c r="A280" s="1">
        <v>267</v>
      </c>
      <c r="B280" s="1" t="s">
        <v>288</v>
      </c>
      <c r="C280" s="1">
        <v>401.4</v>
      </c>
      <c r="D280" s="1">
        <v>0</v>
      </c>
      <c r="E280" s="7">
        <f t="shared" si="84"/>
        <v>401.4</v>
      </c>
      <c r="F280" s="5">
        <v>2.9</v>
      </c>
      <c r="G280" s="5">
        <v>6.98</v>
      </c>
      <c r="H280" s="5">
        <f t="shared" si="98"/>
        <v>9.88</v>
      </c>
      <c r="I280" s="28">
        <f t="shared" si="99"/>
        <v>23794.992</v>
      </c>
      <c r="J280" s="5">
        <f t="shared" si="100"/>
        <v>3.101611830899999</v>
      </c>
      <c r="K280" s="5">
        <f t="shared" si="101"/>
        <v>7.465258820579999</v>
      </c>
      <c r="L280" s="27">
        <f t="shared" si="102"/>
        <v>10.566870651479999</v>
      </c>
      <c r="M280" s="61">
        <f t="shared" si="103"/>
        <v>25449.25127702443</v>
      </c>
      <c r="N280" s="34">
        <f t="shared" si="104"/>
        <v>49244.24327702443</v>
      </c>
      <c r="O280" s="34">
        <v>14674.9</v>
      </c>
      <c r="P280" s="34"/>
      <c r="Q280" s="5">
        <f t="shared" si="105"/>
        <v>34569.343277024425</v>
      </c>
      <c r="R280" s="30">
        <f t="shared" si="106"/>
        <v>34569.343277024425</v>
      </c>
      <c r="S280" s="1">
        <v>1678.14</v>
      </c>
      <c r="T280" s="1">
        <v>1844.37</v>
      </c>
      <c r="U280" s="1">
        <v>4001.72</v>
      </c>
      <c r="V280" s="1">
        <v>1678.14</v>
      </c>
      <c r="W280" s="1">
        <v>1678.14</v>
      </c>
      <c r="X280" s="1">
        <v>1678.14</v>
      </c>
      <c r="Y280" s="1">
        <v>7773.26</v>
      </c>
      <c r="Z280" s="1">
        <v>794.7</v>
      </c>
      <c r="AA280" s="1">
        <v>794.7</v>
      </c>
      <c r="AB280" s="1">
        <v>307.63</v>
      </c>
      <c r="AC280" s="165">
        <f t="shared" si="96"/>
        <v>22228.94</v>
      </c>
      <c r="AD280" s="1">
        <v>0</v>
      </c>
      <c r="AE280" s="1">
        <v>19922.69</v>
      </c>
      <c r="AF280" s="1"/>
      <c r="AG280" s="1">
        <v>794.7</v>
      </c>
      <c r="AH280" s="1">
        <v>0</v>
      </c>
      <c r="AI280" s="1">
        <v>794.7</v>
      </c>
      <c r="AJ280" s="6">
        <f t="shared" si="94"/>
        <v>43741.02999999999</v>
      </c>
      <c r="AK280" s="1"/>
      <c r="AL280" s="1"/>
      <c r="AM280" s="1"/>
      <c r="AN280" s="1"/>
      <c r="AO280" s="6">
        <f t="shared" si="97"/>
        <v>43741.02999999999</v>
      </c>
      <c r="AP280" s="136">
        <f t="shared" si="81"/>
        <v>-9171.686722975566</v>
      </c>
      <c r="AQ280" s="110"/>
      <c r="AR280" s="110"/>
      <c r="AS280" s="111"/>
      <c r="AT280" s="111">
        <f t="shared" si="93"/>
        <v>-9171.686722975566</v>
      </c>
      <c r="AU280" s="121"/>
      <c r="AV280" s="111"/>
      <c r="AW280" s="111"/>
      <c r="AX280" s="111"/>
      <c r="AY280" s="116"/>
      <c r="AZ280" s="172">
        <f t="shared" si="95"/>
        <v>0</v>
      </c>
      <c r="BA280" s="130">
        <v>78813.56</v>
      </c>
    </row>
    <row r="281" spans="1:53" ht="16.5" customHeight="1">
      <c r="A281" s="1">
        <v>268</v>
      </c>
      <c r="B281" s="1" t="s">
        <v>289</v>
      </c>
      <c r="C281" s="1">
        <v>479.6</v>
      </c>
      <c r="D281" s="1">
        <v>0</v>
      </c>
      <c r="E281" s="7">
        <f t="shared" si="84"/>
        <v>479.6</v>
      </c>
      <c r="F281" s="5">
        <v>2.9</v>
      </c>
      <c r="G281" s="5">
        <v>3.37</v>
      </c>
      <c r="H281" s="5">
        <f t="shared" si="98"/>
        <v>6.27</v>
      </c>
      <c r="I281" s="28">
        <f t="shared" si="99"/>
        <v>18042.552</v>
      </c>
      <c r="J281" s="5">
        <f t="shared" si="100"/>
        <v>3.101611830899999</v>
      </c>
      <c r="K281" s="5">
        <f t="shared" si="101"/>
        <v>3.6042868517699995</v>
      </c>
      <c r="L281" s="27">
        <f t="shared" si="102"/>
        <v>6.705898682669998</v>
      </c>
      <c r="M281" s="61">
        <f t="shared" si="103"/>
        <v>19296.894049251187</v>
      </c>
      <c r="N281" s="34">
        <f t="shared" si="104"/>
        <v>37339.446049251186</v>
      </c>
      <c r="O281" s="34"/>
      <c r="P281" s="34"/>
      <c r="Q281" s="5">
        <f t="shared" si="105"/>
        <v>37339.446049251186</v>
      </c>
      <c r="R281" s="30">
        <f t="shared" si="106"/>
        <v>37339.446049251186</v>
      </c>
      <c r="S281" s="1">
        <v>1060.48</v>
      </c>
      <c r="T281" s="1">
        <v>2111.3</v>
      </c>
      <c r="U281" s="1">
        <v>1060.48</v>
      </c>
      <c r="V281" s="1">
        <v>5069.59</v>
      </c>
      <c r="W281" s="1">
        <v>1060.48</v>
      </c>
      <c r="X281" s="1">
        <v>1060.48</v>
      </c>
      <c r="Y281" s="1">
        <v>1122.86</v>
      </c>
      <c r="Z281" s="1">
        <v>1363.39</v>
      </c>
      <c r="AA281" s="1">
        <v>38282.55</v>
      </c>
      <c r="AB281" s="1">
        <v>1648.93</v>
      </c>
      <c r="AC281" s="165">
        <f t="shared" si="96"/>
        <v>53840.54</v>
      </c>
      <c r="AD281" s="1">
        <v>0</v>
      </c>
      <c r="AE281" s="1">
        <v>579.32</v>
      </c>
      <c r="AF281" s="1"/>
      <c r="AG281" s="1">
        <v>1122.86</v>
      </c>
      <c r="AH281" s="1">
        <v>0</v>
      </c>
      <c r="AI281" s="1">
        <v>2872.86</v>
      </c>
      <c r="AJ281" s="6">
        <f t="shared" si="94"/>
        <v>58415.58</v>
      </c>
      <c r="AK281" s="1"/>
      <c r="AL281" s="1"/>
      <c r="AM281" s="1"/>
      <c r="AN281" s="1"/>
      <c r="AO281" s="6">
        <f t="shared" si="97"/>
        <v>58415.58</v>
      </c>
      <c r="AP281" s="136">
        <f t="shared" si="81"/>
        <v>-21076.133950748816</v>
      </c>
      <c r="AQ281" s="110"/>
      <c r="AR281" s="110">
        <v>2488.02</v>
      </c>
      <c r="AS281" s="111"/>
      <c r="AT281" s="111">
        <f t="shared" si="93"/>
        <v>-18588.113950748815</v>
      </c>
      <c r="AU281" s="121"/>
      <c r="AV281" s="111"/>
      <c r="AW281" s="111"/>
      <c r="AX281" s="111"/>
      <c r="AY281" s="116"/>
      <c r="AZ281" s="172">
        <f t="shared" si="95"/>
        <v>0</v>
      </c>
      <c r="BA281" s="130">
        <v>43099.11</v>
      </c>
    </row>
    <row r="282" spans="1:53" ht="17.25" customHeight="1">
      <c r="A282" s="1">
        <v>269</v>
      </c>
      <c r="B282" s="84" t="s">
        <v>290</v>
      </c>
      <c r="C282" s="1">
        <v>369.3</v>
      </c>
      <c r="D282" s="1">
        <v>0</v>
      </c>
      <c r="E282" s="7">
        <f t="shared" si="84"/>
        <v>369.3</v>
      </c>
      <c r="F282" s="5">
        <v>2.9</v>
      </c>
      <c r="G282" s="5">
        <v>3.68</v>
      </c>
      <c r="H282" s="5">
        <f t="shared" si="98"/>
        <v>6.58</v>
      </c>
      <c r="I282" s="28">
        <f t="shared" si="99"/>
        <v>14579.964</v>
      </c>
      <c r="J282" s="5">
        <f t="shared" si="100"/>
        <v>3.101611830899999</v>
      </c>
      <c r="K282" s="5">
        <f t="shared" si="101"/>
        <v>3.9358384612799995</v>
      </c>
      <c r="L282" s="27">
        <f t="shared" si="102"/>
        <v>7.037450292179999</v>
      </c>
      <c r="M282" s="61">
        <f t="shared" si="103"/>
        <v>15593.582357412444</v>
      </c>
      <c r="N282" s="34">
        <f t="shared" si="104"/>
        <v>30173.546357412444</v>
      </c>
      <c r="O282" s="34"/>
      <c r="P282" s="34"/>
      <c r="Q282" s="5">
        <f t="shared" si="105"/>
        <v>30173.546357412444</v>
      </c>
      <c r="R282" s="30">
        <f t="shared" si="106"/>
        <v>30173.546357412444</v>
      </c>
      <c r="S282" s="1">
        <v>677.67</v>
      </c>
      <c r="T282" s="1">
        <v>677.67</v>
      </c>
      <c r="U282" s="1">
        <v>677.67</v>
      </c>
      <c r="V282" s="1">
        <v>677.67</v>
      </c>
      <c r="W282" s="1">
        <v>677.67</v>
      </c>
      <c r="X282" s="1">
        <v>1901.42</v>
      </c>
      <c r="Y282" s="1">
        <v>12732.7</v>
      </c>
      <c r="Z282" s="1">
        <v>8705.37</v>
      </c>
      <c r="AA282" s="1">
        <v>725.55</v>
      </c>
      <c r="AB282" s="1">
        <v>280.86</v>
      </c>
      <c r="AC282" s="165">
        <f t="shared" si="96"/>
        <v>27734.250000000004</v>
      </c>
      <c r="AD282" s="1">
        <v>110.37</v>
      </c>
      <c r="AE282" s="1">
        <v>2161.28</v>
      </c>
      <c r="AF282" s="1">
        <v>0</v>
      </c>
      <c r="AG282" s="1">
        <v>725.55</v>
      </c>
      <c r="AH282" s="1">
        <v>2756.03</v>
      </c>
      <c r="AI282" s="1">
        <v>725.55</v>
      </c>
      <c r="AJ282" s="6">
        <f t="shared" si="94"/>
        <v>34213.030000000006</v>
      </c>
      <c r="AK282" s="1"/>
      <c r="AL282" s="1"/>
      <c r="AM282" s="1"/>
      <c r="AN282" s="1"/>
      <c r="AO282" s="6">
        <f t="shared" si="97"/>
        <v>34213.030000000006</v>
      </c>
      <c r="AP282" s="91">
        <f>R282-AO282</f>
        <v>-4039.483642587562</v>
      </c>
      <c r="AQ282" s="10">
        <v>19605.05</v>
      </c>
      <c r="AR282" s="10">
        <v>16462.17</v>
      </c>
      <c r="AS282" s="34"/>
      <c r="AT282" s="34">
        <f t="shared" si="93"/>
        <v>32027.736357412436</v>
      </c>
      <c r="AU282" s="116"/>
      <c r="AV282" s="34"/>
      <c r="AW282" s="116"/>
      <c r="AX282" s="146">
        <f>AT282+AU282-AV282-AW282</f>
        <v>32027.736357412436</v>
      </c>
      <c r="AY282" s="116">
        <v>9262.8</v>
      </c>
      <c r="AZ282" s="172">
        <f t="shared" si="95"/>
        <v>22764.936357412436</v>
      </c>
      <c r="BA282" s="130">
        <v>45142.2</v>
      </c>
    </row>
    <row r="283" spans="1:53" ht="15.75" customHeight="1">
      <c r="A283" s="1">
        <v>270</v>
      </c>
      <c r="B283" s="1" t="s">
        <v>292</v>
      </c>
      <c r="C283" s="1">
        <v>53.2</v>
      </c>
      <c r="D283" s="1">
        <v>0</v>
      </c>
      <c r="E283" s="7">
        <f t="shared" si="84"/>
        <v>53.2</v>
      </c>
      <c r="F283" s="5">
        <v>2.9</v>
      </c>
      <c r="G283" s="5">
        <v>3.32</v>
      </c>
      <c r="H283" s="5">
        <f t="shared" si="98"/>
        <v>6.22</v>
      </c>
      <c r="I283" s="28">
        <f t="shared" si="99"/>
        <v>1985.424</v>
      </c>
      <c r="J283" s="5">
        <f t="shared" si="100"/>
        <v>3.101611830899999</v>
      </c>
      <c r="K283" s="5">
        <f t="shared" si="101"/>
        <v>3.550810785719999</v>
      </c>
      <c r="L283" s="27">
        <f t="shared" si="102"/>
        <v>6.652422616619998</v>
      </c>
      <c r="M283" s="61">
        <f t="shared" si="103"/>
        <v>2123.453299225104</v>
      </c>
      <c r="N283" s="34">
        <f t="shared" si="104"/>
        <v>4108.877299225103</v>
      </c>
      <c r="O283" s="34"/>
      <c r="P283" s="34"/>
      <c r="Q283" s="5">
        <f t="shared" si="105"/>
        <v>4108.877299225103</v>
      </c>
      <c r="R283" s="30">
        <f t="shared" si="106"/>
        <v>4108.877299225103</v>
      </c>
      <c r="S283" s="1">
        <v>97.89</v>
      </c>
      <c r="T283" s="1">
        <v>97.89</v>
      </c>
      <c r="U283" s="1">
        <v>97.89</v>
      </c>
      <c r="V283" s="1">
        <v>97.89</v>
      </c>
      <c r="W283" s="1">
        <v>97.89</v>
      </c>
      <c r="X283" s="1">
        <v>97.89</v>
      </c>
      <c r="Y283" s="1">
        <v>104.8</v>
      </c>
      <c r="Z283" s="1">
        <v>104.8</v>
      </c>
      <c r="AA283" s="1">
        <v>104.8</v>
      </c>
      <c r="AB283" s="1">
        <v>40.57</v>
      </c>
      <c r="AC283" s="165">
        <f t="shared" si="96"/>
        <v>942.31</v>
      </c>
      <c r="AD283" s="1">
        <v>0</v>
      </c>
      <c r="AE283" s="1">
        <v>64.23</v>
      </c>
      <c r="AF283" s="1"/>
      <c r="AG283" s="1">
        <v>104.8</v>
      </c>
      <c r="AH283" s="1">
        <v>0</v>
      </c>
      <c r="AI283" s="1">
        <v>104.8</v>
      </c>
      <c r="AJ283" s="6">
        <f t="shared" si="94"/>
        <v>1216.1399999999999</v>
      </c>
      <c r="AK283" s="1"/>
      <c r="AL283" s="1"/>
      <c r="AM283" s="1"/>
      <c r="AN283" s="1"/>
      <c r="AO283" s="6">
        <f t="shared" si="97"/>
        <v>1216.1399999999999</v>
      </c>
      <c r="AP283" s="91">
        <f>R283-AO283</f>
        <v>2892.7372992251035</v>
      </c>
      <c r="AQ283" s="10">
        <v>1853.57</v>
      </c>
      <c r="AR283" s="10">
        <v>2291.81</v>
      </c>
      <c r="AS283" s="34"/>
      <c r="AT283" s="116">
        <f t="shared" si="93"/>
        <v>7038.117299225103</v>
      </c>
      <c r="AU283" s="116"/>
      <c r="AV283" s="116"/>
      <c r="AW283" s="116"/>
      <c r="AX283" s="116">
        <f>AT283+AU283-AV283-AW283</f>
        <v>7038.117299225103</v>
      </c>
      <c r="AY283" s="116">
        <v>2035.51</v>
      </c>
      <c r="AZ283" s="172">
        <f t="shared" si="95"/>
        <v>5002.607299225103</v>
      </c>
      <c r="BA283" s="130">
        <v>25879.48</v>
      </c>
    </row>
    <row r="284" spans="1:53" ht="12.75">
      <c r="A284" s="1">
        <v>271</v>
      </c>
      <c r="B284" s="1" t="s">
        <v>293</v>
      </c>
      <c r="C284" s="1">
        <v>910.9</v>
      </c>
      <c r="D284" s="1">
        <v>0</v>
      </c>
      <c r="E284" s="7">
        <f t="shared" si="84"/>
        <v>910.9</v>
      </c>
      <c r="F284" s="5">
        <v>2.9</v>
      </c>
      <c r="G284" s="5">
        <v>7.85</v>
      </c>
      <c r="H284" s="5">
        <f t="shared" si="98"/>
        <v>10.75</v>
      </c>
      <c r="I284" s="28">
        <f t="shared" si="99"/>
        <v>58753.049999999996</v>
      </c>
      <c r="J284" s="5">
        <f t="shared" si="100"/>
        <v>3.101611830899999</v>
      </c>
      <c r="K284" s="5">
        <f t="shared" si="101"/>
        <v>8.395742369849998</v>
      </c>
      <c r="L284" s="27">
        <f t="shared" si="102"/>
        <v>11.497354200749998</v>
      </c>
      <c r="M284" s="61">
        <f t="shared" si="103"/>
        <v>62837.63964877903</v>
      </c>
      <c r="N284" s="34">
        <f t="shared" si="104"/>
        <v>121590.68964877902</v>
      </c>
      <c r="O284" s="34"/>
      <c r="P284" s="34"/>
      <c r="Q284" s="5">
        <f t="shared" si="105"/>
        <v>121590.68964877902</v>
      </c>
      <c r="R284" s="30">
        <f t="shared" si="106"/>
        <v>121590.68964877902</v>
      </c>
      <c r="S284" s="1">
        <v>4797.43</v>
      </c>
      <c r="T284" s="1">
        <v>4728.59</v>
      </c>
      <c r="U284" s="1">
        <v>4815.36</v>
      </c>
      <c r="V284" s="1">
        <v>5336.8</v>
      </c>
      <c r="W284" s="1">
        <v>7720.2</v>
      </c>
      <c r="X284" s="1">
        <v>35999.29</v>
      </c>
      <c r="Y284" s="1">
        <v>6810.6</v>
      </c>
      <c r="Z284" s="1">
        <v>5091.06</v>
      </c>
      <c r="AA284" s="1">
        <v>4739.59</v>
      </c>
      <c r="AB284" s="1">
        <v>1747.95</v>
      </c>
      <c r="AC284" s="165">
        <f t="shared" si="96"/>
        <v>81786.87</v>
      </c>
      <c r="AD284" s="1">
        <v>0</v>
      </c>
      <c r="AE284" s="1">
        <v>6203.56</v>
      </c>
      <c r="AF284" s="1"/>
      <c r="AG284" s="1">
        <v>5159.49</v>
      </c>
      <c r="AH284" s="1">
        <v>0</v>
      </c>
      <c r="AI284" s="1">
        <v>5206.88</v>
      </c>
      <c r="AJ284" s="6">
        <f t="shared" si="94"/>
        <v>98356.8</v>
      </c>
      <c r="AK284" s="1"/>
      <c r="AL284" s="1"/>
      <c r="AM284" s="1"/>
      <c r="AN284" s="1"/>
      <c r="AO284" s="6">
        <f t="shared" si="97"/>
        <v>98356.8</v>
      </c>
      <c r="AP284" s="91">
        <f>R284-AO284</f>
        <v>23233.88964877902</v>
      </c>
      <c r="AQ284" s="10"/>
      <c r="AR284" s="10">
        <v>5921.45</v>
      </c>
      <c r="AS284" s="34"/>
      <c r="AT284" s="116">
        <f t="shared" si="93"/>
        <v>29155.33964877902</v>
      </c>
      <c r="AU284" s="116">
        <v>4318</v>
      </c>
      <c r="AV284" s="116"/>
      <c r="AW284" s="116"/>
      <c r="AX284" s="116">
        <f>AT284+AU284-AV284-AW284</f>
        <v>33473.339648779016</v>
      </c>
      <c r="AY284" s="116">
        <v>9680.88</v>
      </c>
      <c r="AZ284" s="172">
        <f t="shared" si="95"/>
        <v>23792.45964877902</v>
      </c>
      <c r="BA284" s="130">
        <v>43510.1</v>
      </c>
    </row>
    <row r="285" spans="1:53" ht="12.75">
      <c r="A285" s="1">
        <v>2</v>
      </c>
      <c r="B285" s="4" t="s">
        <v>366</v>
      </c>
      <c r="C285" s="16">
        <f>SUM(C12:C287)</f>
        <v>451419.39000000013</v>
      </c>
      <c r="D285" s="16">
        <f>SUM(D12:D287)</f>
        <v>25289.599999999995</v>
      </c>
      <c r="E285" s="16">
        <f>SUM(E12:E287)</f>
        <v>476708.99</v>
      </c>
      <c r="F285" s="5"/>
      <c r="G285" s="5"/>
      <c r="H285" s="1"/>
      <c r="I285" s="29">
        <f>SUM(I12:I284)</f>
        <v>28206138.5026</v>
      </c>
      <c r="J285" s="26"/>
      <c r="K285" s="26"/>
      <c r="L285" s="26"/>
      <c r="M285" s="62">
        <f aca="true" t="shared" si="107" ref="M285:R285">SUM(M12:M284)</f>
        <v>30520876.89581509</v>
      </c>
      <c r="N285" s="40">
        <f t="shared" si="107"/>
        <v>58727015.39841512</v>
      </c>
      <c r="O285" s="41">
        <f t="shared" si="107"/>
        <v>7957792.6</v>
      </c>
      <c r="P285" s="40">
        <f t="shared" si="107"/>
        <v>1477240.5499999998</v>
      </c>
      <c r="Q285" s="40">
        <f t="shared" si="107"/>
        <v>50769222.79841507</v>
      </c>
      <c r="R285" s="39">
        <f t="shared" si="107"/>
        <v>53096899.01009519</v>
      </c>
      <c r="S285" s="3">
        <f aca="true" t="shared" si="108" ref="S285:AB285">SUM(S12:S284)</f>
        <v>3319915.579999998</v>
      </c>
      <c r="T285" s="3">
        <f t="shared" si="108"/>
        <v>3567555.1299999994</v>
      </c>
      <c r="U285" s="3">
        <f t="shared" si="108"/>
        <v>4235413.44</v>
      </c>
      <c r="V285" s="3">
        <f t="shared" si="108"/>
        <v>3680156.999999997</v>
      </c>
      <c r="W285" s="3">
        <f t="shared" si="108"/>
        <v>3935462.0499999975</v>
      </c>
      <c r="X285" s="3">
        <f t="shared" si="108"/>
        <v>4383605.299999998</v>
      </c>
      <c r="Y285" s="3">
        <f t="shared" si="108"/>
        <v>4384997.419999997</v>
      </c>
      <c r="Z285" s="3">
        <f t="shared" si="108"/>
        <v>4934820.079999997</v>
      </c>
      <c r="AA285" s="3">
        <f t="shared" si="108"/>
        <v>4533306.6099999985</v>
      </c>
      <c r="AB285" s="3">
        <f t="shared" si="108"/>
        <v>1697795.6600000004</v>
      </c>
      <c r="AC285" s="3">
        <f>SUM(AC12:AC284)</f>
        <v>38673028.26999997</v>
      </c>
      <c r="AD285" s="3">
        <f>SUM(AD12:AD284)</f>
        <v>1030302.1799999999</v>
      </c>
      <c r="AE285" s="89">
        <f aca="true" t="shared" si="109" ref="AE285:AP285">SUM(AE12:AE284)</f>
        <v>1511524.15</v>
      </c>
      <c r="AF285" s="89">
        <f t="shared" si="109"/>
        <v>1691774.1899999992</v>
      </c>
      <c r="AG285" s="89">
        <f t="shared" si="109"/>
        <v>2589058.729999999</v>
      </c>
      <c r="AH285" s="89">
        <f t="shared" si="109"/>
        <v>1478014.229999999</v>
      </c>
      <c r="AI285" s="89">
        <f t="shared" si="109"/>
        <v>3347974.3899999987</v>
      </c>
      <c r="AJ285" s="89">
        <f t="shared" si="109"/>
        <v>50321676.14</v>
      </c>
      <c r="AK285" s="89">
        <f t="shared" si="109"/>
        <v>135449.9</v>
      </c>
      <c r="AL285" s="89">
        <f t="shared" si="109"/>
        <v>23747.4</v>
      </c>
      <c r="AM285" s="89">
        <f t="shared" si="109"/>
        <v>105525.22</v>
      </c>
      <c r="AN285" s="89">
        <f t="shared" si="109"/>
        <v>1846658.88</v>
      </c>
      <c r="AO285" s="89">
        <f t="shared" si="109"/>
        <v>52433057.54000001</v>
      </c>
      <c r="AP285" s="39">
        <f t="shared" si="109"/>
        <v>663841.4700952262</v>
      </c>
      <c r="AQ285" s="39">
        <f aca="true" t="shared" si="110" ref="AQ285:BA285">SUM(AQ12:AQ284)</f>
        <v>2156176.8899999997</v>
      </c>
      <c r="AR285" s="39">
        <f t="shared" si="110"/>
        <v>1972463.2699999993</v>
      </c>
      <c r="AS285" s="39">
        <f t="shared" si="110"/>
        <v>213355.55</v>
      </c>
      <c r="AT285" s="39">
        <f t="shared" si="110"/>
        <v>5005837.1800952265</v>
      </c>
      <c r="AU285" s="131">
        <f t="shared" si="110"/>
        <v>177135</v>
      </c>
      <c r="AV285" s="39">
        <f t="shared" si="110"/>
        <v>1972198.3699999999</v>
      </c>
      <c r="AW285" s="39"/>
      <c r="AX285" s="39">
        <f t="shared" si="110"/>
        <v>9122317.665565519</v>
      </c>
      <c r="AY285" s="167">
        <f t="shared" si="110"/>
        <v>2650766.05</v>
      </c>
      <c r="AZ285" s="173">
        <f t="shared" si="110"/>
        <v>6471551.615565511</v>
      </c>
      <c r="BA285" s="131">
        <f t="shared" si="110"/>
        <v>33902902.58999999</v>
      </c>
    </row>
    <row r="286" spans="1:53" ht="12.75">
      <c r="A286" s="1">
        <v>3</v>
      </c>
      <c r="B286" s="3" t="s">
        <v>295</v>
      </c>
      <c r="C286" s="1"/>
      <c r="D286" s="1"/>
      <c r="E286" s="1"/>
      <c r="F286" s="5"/>
      <c r="G286" s="5"/>
      <c r="H286" s="1"/>
      <c r="I286" s="2"/>
      <c r="J286" s="1"/>
      <c r="K286" s="1"/>
      <c r="L286" s="8"/>
      <c r="M286" s="63"/>
      <c r="N286" s="10"/>
      <c r="O286" s="10"/>
      <c r="P286" s="10"/>
      <c r="Q286" s="1"/>
      <c r="R286" s="6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55"/>
      <c r="AD286" s="1"/>
      <c r="AE286" s="1"/>
      <c r="AF286" s="1"/>
      <c r="AG286" s="1"/>
      <c r="AH286" s="1"/>
      <c r="AI286" s="1"/>
      <c r="AJ286" s="6"/>
      <c r="AK286" s="1"/>
      <c r="AL286" s="1"/>
      <c r="AM286" s="1"/>
      <c r="AN286" s="1"/>
      <c r="AO286" s="6"/>
      <c r="AP286" s="91"/>
      <c r="AQ286" s="10"/>
      <c r="AR286" s="10"/>
      <c r="AS286" s="10"/>
      <c r="AT286" s="10"/>
      <c r="AU286" s="96"/>
      <c r="AV286" s="10"/>
      <c r="AW286" s="10"/>
      <c r="AX286" s="10"/>
      <c r="AY286" s="96"/>
      <c r="AZ286" s="172">
        <f t="shared" si="95"/>
        <v>0</v>
      </c>
      <c r="BA286" s="96"/>
    </row>
    <row r="287" spans="1:53" ht="12.75">
      <c r="A287" s="1">
        <v>4</v>
      </c>
      <c r="B287" s="1" t="s">
        <v>296</v>
      </c>
      <c r="C287" s="1">
        <v>171.7</v>
      </c>
      <c r="D287" s="1">
        <v>0</v>
      </c>
      <c r="E287" s="1">
        <f aca="true" t="shared" si="111" ref="E287:E318">C287+D287</f>
        <v>171.7</v>
      </c>
      <c r="F287" s="5">
        <v>0</v>
      </c>
      <c r="G287" s="5">
        <v>1.84</v>
      </c>
      <c r="H287" s="5">
        <f aca="true" t="shared" si="112" ref="H287:H350">F287+G287</f>
        <v>1.84</v>
      </c>
      <c r="I287" s="28">
        <f aca="true" t="shared" si="113" ref="I287:I350">E287*H287*6</f>
        <v>1895.568</v>
      </c>
      <c r="J287" s="5">
        <f aca="true" t="shared" si="114" ref="J287:J350">F287*1.067*1.002363</f>
        <v>0</v>
      </c>
      <c r="K287" s="5">
        <f aca="true" t="shared" si="115" ref="K287:K350">G287*1.067*1.002363</f>
        <v>1.9679192306399997</v>
      </c>
      <c r="L287" s="27">
        <f aca="true" t="shared" si="116" ref="L287:L350">J287+K287</f>
        <v>1.9679192306399997</v>
      </c>
      <c r="M287" s="61">
        <f aca="true" t="shared" si="117" ref="M287:M350">L287*E287*6</f>
        <v>2027.3503914053276</v>
      </c>
      <c r="N287" s="34">
        <f aca="true" t="shared" si="118" ref="N287:N350">I287+M287</f>
        <v>3922.9183914053274</v>
      </c>
      <c r="O287" s="34">
        <v>0.01</v>
      </c>
      <c r="P287" s="34"/>
      <c r="Q287" s="5">
        <f aca="true" t="shared" si="119" ref="Q287:Q350">N287-O287</f>
        <v>3922.908391405327</v>
      </c>
      <c r="R287" s="30">
        <f t="shared" si="106"/>
        <v>3922.908391405327</v>
      </c>
      <c r="S287" s="1">
        <v>315.19</v>
      </c>
      <c r="T287" s="1">
        <v>315.19</v>
      </c>
      <c r="U287" s="1">
        <v>315.19</v>
      </c>
      <c r="V287" s="1">
        <v>315.19</v>
      </c>
      <c r="W287" s="1">
        <v>315.19</v>
      </c>
      <c r="X287" s="1">
        <v>315.19</v>
      </c>
      <c r="Y287" s="1">
        <v>337.46</v>
      </c>
      <c r="Z287" s="1">
        <v>337.46</v>
      </c>
      <c r="AA287" s="1">
        <v>337.46</v>
      </c>
      <c r="AB287" s="1">
        <v>130.63</v>
      </c>
      <c r="AC287" s="165">
        <f aca="true" t="shared" si="120" ref="AC287:AC350">S287+T287++U287+V287+W287+X287+Y287+Z287+AA287+AB287</f>
        <v>3034.15</v>
      </c>
      <c r="AD287" s="1">
        <v>0</v>
      </c>
      <c r="AE287" s="1">
        <v>206.83</v>
      </c>
      <c r="AF287" s="1"/>
      <c r="AG287" s="1">
        <v>337.46</v>
      </c>
      <c r="AH287" s="1">
        <v>0</v>
      </c>
      <c r="AI287" s="1">
        <v>337.46</v>
      </c>
      <c r="AJ287" s="6">
        <f aca="true" t="shared" si="121" ref="AJ287:AJ350">AC287+AD287+AE287+AF287+AG287+AH287+AI287</f>
        <v>3915.9</v>
      </c>
      <c r="AK287" s="1"/>
      <c r="AL287" s="1"/>
      <c r="AM287" s="1"/>
      <c r="AN287" s="1"/>
      <c r="AO287" s="6">
        <f aca="true" t="shared" si="122" ref="AO287:AO350">AJ287+AK287+AL287+AM287+AN287</f>
        <v>3915.9</v>
      </c>
      <c r="AP287" s="91">
        <f aca="true" t="shared" si="123" ref="AP287:AP350">R287-AO287</f>
        <v>7.008391405327075</v>
      </c>
      <c r="AQ287" s="10"/>
      <c r="AR287" s="10"/>
      <c r="AS287" s="34"/>
      <c r="AT287" s="116">
        <f aca="true" t="shared" si="124" ref="AT287:AT318">AP287+AQ287+AR287+AS287</f>
        <v>7.008391405327075</v>
      </c>
      <c r="AU287" s="116"/>
      <c r="AV287" s="116"/>
      <c r="AW287" s="116"/>
      <c r="AX287" s="116">
        <f>AT287+AU287-AV287</f>
        <v>7.008391405327075</v>
      </c>
      <c r="AY287" s="116"/>
      <c r="AZ287" s="172">
        <f t="shared" si="95"/>
        <v>7.008391405327075</v>
      </c>
      <c r="BA287" s="130">
        <v>61555.62</v>
      </c>
    </row>
    <row r="288" spans="1:53" ht="12.75">
      <c r="A288" s="1">
        <v>5</v>
      </c>
      <c r="B288" s="1" t="s">
        <v>297</v>
      </c>
      <c r="C288" s="1">
        <v>177.5</v>
      </c>
      <c r="D288" s="1">
        <v>0</v>
      </c>
      <c r="E288" s="7">
        <f t="shared" si="111"/>
        <v>177.5</v>
      </c>
      <c r="F288" s="5">
        <v>0</v>
      </c>
      <c r="G288" s="5">
        <v>1.84</v>
      </c>
      <c r="H288" s="5">
        <f t="shared" si="112"/>
        <v>1.84</v>
      </c>
      <c r="I288" s="28">
        <f t="shared" si="113"/>
        <v>1959.6000000000001</v>
      </c>
      <c r="J288" s="5">
        <f t="shared" si="114"/>
        <v>0</v>
      </c>
      <c r="K288" s="5">
        <f t="shared" si="115"/>
        <v>1.9679192306399997</v>
      </c>
      <c r="L288" s="27">
        <f t="shared" si="116"/>
        <v>1.9679192306399997</v>
      </c>
      <c r="M288" s="61">
        <f t="shared" si="117"/>
        <v>2095.8339806316</v>
      </c>
      <c r="N288" s="34">
        <f t="shared" si="118"/>
        <v>4055.4339806316</v>
      </c>
      <c r="O288" s="34">
        <v>0.02</v>
      </c>
      <c r="P288" s="34"/>
      <c r="Q288" s="5">
        <f t="shared" si="119"/>
        <v>4055.4139806316</v>
      </c>
      <c r="R288" s="30">
        <f t="shared" si="106"/>
        <v>4055.4139806316</v>
      </c>
      <c r="S288" s="1">
        <v>326.6</v>
      </c>
      <c r="T288" s="1">
        <v>326.6</v>
      </c>
      <c r="U288" s="1">
        <v>326.6</v>
      </c>
      <c r="V288" s="1">
        <v>326.6</v>
      </c>
      <c r="W288" s="1">
        <v>326.6</v>
      </c>
      <c r="X288" s="1">
        <v>326.6</v>
      </c>
      <c r="Y288" s="1">
        <v>349.68</v>
      </c>
      <c r="Z288" s="1">
        <v>349.68</v>
      </c>
      <c r="AA288" s="1">
        <v>349.68</v>
      </c>
      <c r="AB288" s="1">
        <v>135.36</v>
      </c>
      <c r="AC288" s="165">
        <f t="shared" si="120"/>
        <v>3143.9999999999995</v>
      </c>
      <c r="AD288" s="1">
        <v>0</v>
      </c>
      <c r="AE288" s="1">
        <v>214.32</v>
      </c>
      <c r="AF288" s="1"/>
      <c r="AG288" s="1">
        <v>349.68</v>
      </c>
      <c r="AH288" s="1">
        <v>0</v>
      </c>
      <c r="AI288" s="1">
        <v>349.68</v>
      </c>
      <c r="AJ288" s="6">
        <f t="shared" si="121"/>
        <v>4057.6799999999994</v>
      </c>
      <c r="AK288" s="1"/>
      <c r="AL288" s="1"/>
      <c r="AM288" s="1"/>
      <c r="AN288" s="1"/>
      <c r="AO288" s="6">
        <f t="shared" si="122"/>
        <v>4057.6799999999994</v>
      </c>
      <c r="AP288" s="136">
        <f t="shared" si="123"/>
        <v>-2.2660193683991565</v>
      </c>
      <c r="AQ288" s="110"/>
      <c r="AR288" s="110"/>
      <c r="AS288" s="111"/>
      <c r="AT288" s="111">
        <f t="shared" si="124"/>
        <v>-2.2660193683991565</v>
      </c>
      <c r="AU288" s="121"/>
      <c r="AV288" s="111"/>
      <c r="AW288" s="111"/>
      <c r="AX288" s="111"/>
      <c r="AY288" s="116"/>
      <c r="AZ288" s="172">
        <f t="shared" si="95"/>
        <v>0</v>
      </c>
      <c r="BA288" s="130">
        <v>37127.64</v>
      </c>
    </row>
    <row r="289" spans="1:53" ht="12.75">
      <c r="A289" s="1">
        <v>6</v>
      </c>
      <c r="B289" s="10" t="s">
        <v>2</v>
      </c>
      <c r="C289" s="6">
        <v>131</v>
      </c>
      <c r="D289" s="6">
        <v>0</v>
      </c>
      <c r="E289" s="25">
        <f t="shared" si="111"/>
        <v>131</v>
      </c>
      <c r="F289" s="5">
        <v>0</v>
      </c>
      <c r="G289" s="5">
        <v>1.84</v>
      </c>
      <c r="H289" s="5">
        <f t="shared" si="112"/>
        <v>1.84</v>
      </c>
      <c r="I289" s="28">
        <f t="shared" si="113"/>
        <v>1446.2400000000002</v>
      </c>
      <c r="J289" s="5">
        <f t="shared" si="114"/>
        <v>0</v>
      </c>
      <c r="K289" s="5">
        <f t="shared" si="115"/>
        <v>1.9679192306399997</v>
      </c>
      <c r="L289" s="27">
        <f t="shared" si="116"/>
        <v>1.9679192306399997</v>
      </c>
      <c r="M289" s="61">
        <f t="shared" si="117"/>
        <v>1546.78451528304</v>
      </c>
      <c r="N289" s="34">
        <f t="shared" si="118"/>
        <v>2993.0245152830403</v>
      </c>
      <c r="O289" s="34">
        <v>7021.83</v>
      </c>
      <c r="P289" s="34">
        <v>4129.75</v>
      </c>
      <c r="Q289" s="5">
        <f t="shared" si="119"/>
        <v>-4028.8054847169597</v>
      </c>
      <c r="R289" s="30">
        <v>2892.48</v>
      </c>
      <c r="S289" s="1">
        <v>241.04</v>
      </c>
      <c r="T289" s="1">
        <v>241.04</v>
      </c>
      <c r="U289" s="1">
        <v>241.04</v>
      </c>
      <c r="V289" s="1">
        <v>241.04</v>
      </c>
      <c r="W289" s="1">
        <v>241.04</v>
      </c>
      <c r="X289" s="1">
        <v>241.04</v>
      </c>
      <c r="Y289" s="1">
        <v>258.07</v>
      </c>
      <c r="Z289" s="1">
        <v>258.07</v>
      </c>
      <c r="AA289" s="1">
        <v>258.07</v>
      </c>
      <c r="AB289" s="1">
        <v>99.9</v>
      </c>
      <c r="AC289" s="165">
        <f t="shared" si="120"/>
        <v>2320.35</v>
      </c>
      <c r="AD289" s="1">
        <v>0</v>
      </c>
      <c r="AE289" s="1">
        <v>158.17</v>
      </c>
      <c r="AF289" s="1"/>
      <c r="AG289" s="1">
        <v>258.07</v>
      </c>
      <c r="AH289" s="1">
        <v>0</v>
      </c>
      <c r="AI289" s="1">
        <v>258.07</v>
      </c>
      <c r="AJ289" s="6">
        <f t="shared" si="121"/>
        <v>2994.6600000000003</v>
      </c>
      <c r="AK289" s="1"/>
      <c r="AL289" s="1"/>
      <c r="AM289" s="1"/>
      <c r="AN289" s="1"/>
      <c r="AO289" s="6">
        <f t="shared" si="122"/>
        <v>2994.6600000000003</v>
      </c>
      <c r="AP289" s="136">
        <f t="shared" si="123"/>
        <v>-102.18000000000029</v>
      </c>
      <c r="AQ289" s="110"/>
      <c r="AR289" s="110"/>
      <c r="AS289" s="111"/>
      <c r="AT289" s="111">
        <f t="shared" si="124"/>
        <v>-102.18000000000029</v>
      </c>
      <c r="AU289" s="121"/>
      <c r="AV289" s="111"/>
      <c r="AW289" s="111"/>
      <c r="AX289" s="111"/>
      <c r="AY289" s="116"/>
      <c r="AZ289" s="172">
        <f t="shared" si="95"/>
        <v>0</v>
      </c>
      <c r="BA289" s="130">
        <v>60493.21</v>
      </c>
    </row>
    <row r="290" spans="1:53" ht="12.75">
      <c r="A290" s="1">
        <v>7</v>
      </c>
      <c r="B290" s="10" t="s">
        <v>298</v>
      </c>
      <c r="C290" s="1">
        <v>85.2</v>
      </c>
      <c r="D290" s="1">
        <v>0</v>
      </c>
      <c r="E290" s="7">
        <f t="shared" si="111"/>
        <v>85.2</v>
      </c>
      <c r="F290" s="5">
        <v>0</v>
      </c>
      <c r="G290" s="5">
        <v>1.84</v>
      </c>
      <c r="H290" s="5">
        <f t="shared" si="112"/>
        <v>1.84</v>
      </c>
      <c r="I290" s="28">
        <f t="shared" si="113"/>
        <v>940.608</v>
      </c>
      <c r="J290" s="5">
        <f t="shared" si="114"/>
        <v>0</v>
      </c>
      <c r="K290" s="5">
        <f t="shared" si="115"/>
        <v>1.9679192306399997</v>
      </c>
      <c r="L290" s="27">
        <f t="shared" si="116"/>
        <v>1.9679192306399997</v>
      </c>
      <c r="M290" s="61">
        <f t="shared" si="117"/>
        <v>1006.0003107031679</v>
      </c>
      <c r="N290" s="34">
        <f t="shared" si="118"/>
        <v>1946.6083107031677</v>
      </c>
      <c r="O290" s="34">
        <v>0.02</v>
      </c>
      <c r="P290" s="34"/>
      <c r="Q290" s="5">
        <f t="shared" si="119"/>
        <v>1946.5883107031677</v>
      </c>
      <c r="R290" s="30">
        <v>3764.64</v>
      </c>
      <c r="S290" s="1">
        <v>313.72</v>
      </c>
      <c r="T290" s="1">
        <v>313.72</v>
      </c>
      <c r="U290" s="1">
        <v>313.72</v>
      </c>
      <c r="V290" s="1">
        <v>313.72</v>
      </c>
      <c r="W290" s="1">
        <v>313.72</v>
      </c>
      <c r="X290" s="1">
        <v>313.72</v>
      </c>
      <c r="Y290" s="1">
        <v>335.89</v>
      </c>
      <c r="Z290" s="1">
        <v>335.89</v>
      </c>
      <c r="AA290" s="1">
        <v>335.89</v>
      </c>
      <c r="AB290" s="1">
        <v>130.02</v>
      </c>
      <c r="AC290" s="165">
        <f t="shared" si="120"/>
        <v>3020.0099999999998</v>
      </c>
      <c r="AD290" s="1">
        <v>0</v>
      </c>
      <c r="AE290" s="1">
        <v>205.87</v>
      </c>
      <c r="AF290" s="1"/>
      <c r="AG290" s="1">
        <v>335.89</v>
      </c>
      <c r="AH290" s="1">
        <v>0</v>
      </c>
      <c r="AI290" s="1">
        <v>335.89</v>
      </c>
      <c r="AJ290" s="6">
        <f t="shared" si="121"/>
        <v>3897.6599999999994</v>
      </c>
      <c r="AK290" s="1"/>
      <c r="AL290" s="1"/>
      <c r="AM290" s="1"/>
      <c r="AN290" s="1"/>
      <c r="AO290" s="6">
        <f t="shared" si="122"/>
        <v>3897.6599999999994</v>
      </c>
      <c r="AP290" s="136">
        <f t="shared" si="123"/>
        <v>-133.01999999999953</v>
      </c>
      <c r="AQ290" s="110"/>
      <c r="AR290" s="110"/>
      <c r="AS290" s="111"/>
      <c r="AT290" s="111">
        <f t="shared" si="124"/>
        <v>-133.01999999999953</v>
      </c>
      <c r="AU290" s="121"/>
      <c r="AV290" s="111"/>
      <c r="AW290" s="111"/>
      <c r="AX290" s="111"/>
      <c r="AY290" s="116"/>
      <c r="AZ290" s="172">
        <f t="shared" si="95"/>
        <v>0</v>
      </c>
      <c r="BA290" s="130">
        <v>193048.49</v>
      </c>
    </row>
    <row r="291" spans="1:53" ht="12.75">
      <c r="A291" s="1">
        <v>8</v>
      </c>
      <c r="B291" s="10" t="s">
        <v>299</v>
      </c>
      <c r="C291" s="1">
        <v>527.4</v>
      </c>
      <c r="D291" s="1">
        <v>0</v>
      </c>
      <c r="E291" s="7">
        <f t="shared" si="111"/>
        <v>527.4</v>
      </c>
      <c r="F291" s="5">
        <v>0</v>
      </c>
      <c r="G291" s="5">
        <v>2.8</v>
      </c>
      <c r="H291" s="5">
        <f t="shared" si="112"/>
        <v>2.8</v>
      </c>
      <c r="I291" s="28">
        <f t="shared" si="113"/>
        <v>8860.32</v>
      </c>
      <c r="J291" s="5">
        <f t="shared" si="114"/>
        <v>0</v>
      </c>
      <c r="K291" s="5">
        <f t="shared" si="115"/>
        <v>2.994659698799999</v>
      </c>
      <c r="L291" s="27">
        <f t="shared" si="116"/>
        <v>2.994659698799999</v>
      </c>
      <c r="M291" s="61">
        <f t="shared" si="117"/>
        <v>9476.301150882719</v>
      </c>
      <c r="N291" s="34">
        <f t="shared" si="118"/>
        <v>18336.62115088272</v>
      </c>
      <c r="O291" s="34">
        <v>6628.05</v>
      </c>
      <c r="P291" s="34">
        <v>13145.48</v>
      </c>
      <c r="Q291" s="5">
        <f t="shared" si="119"/>
        <v>11708.571150882719</v>
      </c>
      <c r="R291" s="30">
        <f t="shared" si="106"/>
        <v>24854.05115088272</v>
      </c>
      <c r="S291" s="1">
        <v>7703.81</v>
      </c>
      <c r="T291" s="1">
        <v>970.42</v>
      </c>
      <c r="U291" s="1">
        <v>970.42</v>
      </c>
      <c r="V291" s="1">
        <v>970.42</v>
      </c>
      <c r="W291" s="1">
        <v>970.42</v>
      </c>
      <c r="X291" s="1">
        <v>970.42</v>
      </c>
      <c r="Y291" s="1">
        <v>1038.98</v>
      </c>
      <c r="Z291" s="1">
        <v>1038.98</v>
      </c>
      <c r="AA291" s="1">
        <v>1038.98</v>
      </c>
      <c r="AB291" s="1">
        <v>402.19</v>
      </c>
      <c r="AC291" s="165">
        <f t="shared" si="120"/>
        <v>16075.039999999999</v>
      </c>
      <c r="AD291" s="1">
        <v>0</v>
      </c>
      <c r="AE291" s="1">
        <v>636.79</v>
      </c>
      <c r="AF291" s="1"/>
      <c r="AG291" s="1">
        <v>1597.22</v>
      </c>
      <c r="AH291" s="1">
        <v>0</v>
      </c>
      <c r="AI291" s="1">
        <v>1038.98</v>
      </c>
      <c r="AJ291" s="6">
        <f t="shared" si="121"/>
        <v>19348.03</v>
      </c>
      <c r="AK291" s="1"/>
      <c r="AL291" s="1"/>
      <c r="AM291" s="1"/>
      <c r="AN291" s="1"/>
      <c r="AO291" s="6">
        <f t="shared" si="122"/>
        <v>19348.03</v>
      </c>
      <c r="AP291" s="91">
        <f t="shared" si="123"/>
        <v>5506.02115088272</v>
      </c>
      <c r="AQ291" s="10"/>
      <c r="AR291" s="10"/>
      <c r="AS291" s="34"/>
      <c r="AT291" s="116">
        <f t="shared" si="124"/>
        <v>5506.02115088272</v>
      </c>
      <c r="AU291" s="116"/>
      <c r="AV291" s="116"/>
      <c r="AW291" s="116"/>
      <c r="AX291" s="116">
        <f>AT291+AU291-AV291</f>
        <v>5506.02115088272</v>
      </c>
      <c r="AY291" s="116"/>
      <c r="AZ291" s="172">
        <f t="shared" si="95"/>
        <v>5506.02115088272</v>
      </c>
      <c r="BA291" s="130">
        <v>87436.18</v>
      </c>
    </row>
    <row r="292" spans="1:53" ht="12.75">
      <c r="A292" s="1">
        <v>9</v>
      </c>
      <c r="B292" s="10" t="s">
        <v>300</v>
      </c>
      <c r="C292" s="1">
        <v>514.7</v>
      </c>
      <c r="D292" s="1">
        <v>0</v>
      </c>
      <c r="E292" s="7">
        <f t="shared" si="111"/>
        <v>514.7</v>
      </c>
      <c r="F292" s="5">
        <v>0</v>
      </c>
      <c r="G292" s="5">
        <v>1.84</v>
      </c>
      <c r="H292" s="5">
        <f t="shared" si="112"/>
        <v>1.84</v>
      </c>
      <c r="I292" s="28">
        <f t="shared" si="113"/>
        <v>5682.2880000000005</v>
      </c>
      <c r="J292" s="5">
        <f t="shared" si="114"/>
        <v>0</v>
      </c>
      <c r="K292" s="5">
        <f t="shared" si="115"/>
        <v>1.9679192306399997</v>
      </c>
      <c r="L292" s="27">
        <f t="shared" si="116"/>
        <v>1.9679192306399997</v>
      </c>
      <c r="M292" s="61">
        <f t="shared" si="117"/>
        <v>6077.328168062448</v>
      </c>
      <c r="N292" s="34">
        <f t="shared" si="118"/>
        <v>11759.616168062448</v>
      </c>
      <c r="O292" s="34">
        <v>11032.75</v>
      </c>
      <c r="P292" s="34"/>
      <c r="Q292" s="5">
        <f t="shared" si="119"/>
        <v>726.8661680624482</v>
      </c>
      <c r="R292" s="30">
        <v>11364.58</v>
      </c>
      <c r="S292" s="1">
        <v>947.05</v>
      </c>
      <c r="T292" s="1">
        <v>947.05</v>
      </c>
      <c r="U292" s="1">
        <v>947.05</v>
      </c>
      <c r="V292" s="1">
        <v>947.05</v>
      </c>
      <c r="W292" s="1">
        <v>947.05</v>
      </c>
      <c r="X292" s="1">
        <v>947.05</v>
      </c>
      <c r="Y292" s="1">
        <v>1013.96</v>
      </c>
      <c r="Z292" s="1">
        <v>1013.96</v>
      </c>
      <c r="AA292" s="1">
        <v>1013.96</v>
      </c>
      <c r="AB292" s="1">
        <v>392.5</v>
      </c>
      <c r="AC292" s="165">
        <f t="shared" si="120"/>
        <v>9116.68</v>
      </c>
      <c r="AD292" s="1">
        <v>0</v>
      </c>
      <c r="AE292" s="1">
        <v>621.46</v>
      </c>
      <c r="AF292" s="1"/>
      <c r="AG292" s="1">
        <v>1013.96</v>
      </c>
      <c r="AH292" s="1">
        <v>0</v>
      </c>
      <c r="AI292" s="1">
        <v>1013.96</v>
      </c>
      <c r="AJ292" s="6">
        <f t="shared" si="121"/>
        <v>11766.059999999998</v>
      </c>
      <c r="AK292" s="1"/>
      <c r="AL292" s="1"/>
      <c r="AM292" s="1"/>
      <c r="AN292" s="1"/>
      <c r="AO292" s="6">
        <f t="shared" si="122"/>
        <v>11766.059999999998</v>
      </c>
      <c r="AP292" s="136">
        <f t="shared" si="123"/>
        <v>-401.47999999999774</v>
      </c>
      <c r="AQ292" s="110"/>
      <c r="AR292" s="110"/>
      <c r="AS292" s="111"/>
      <c r="AT292" s="111">
        <f t="shared" si="124"/>
        <v>-401.47999999999774</v>
      </c>
      <c r="AU292" s="133"/>
      <c r="AV292" s="111"/>
      <c r="AW292" s="111"/>
      <c r="AX292" s="111"/>
      <c r="AY292" s="134"/>
      <c r="AZ292" s="172">
        <f t="shared" si="95"/>
        <v>0</v>
      </c>
      <c r="BA292" s="127">
        <v>3404.78</v>
      </c>
    </row>
    <row r="293" spans="1:53" ht="12.75">
      <c r="A293" s="1">
        <v>10</v>
      </c>
      <c r="B293" s="10" t="s">
        <v>301</v>
      </c>
      <c r="C293" s="1">
        <v>532.7</v>
      </c>
      <c r="D293" s="1">
        <v>0</v>
      </c>
      <c r="E293" s="7">
        <f t="shared" si="111"/>
        <v>532.7</v>
      </c>
      <c r="F293" s="5">
        <v>0</v>
      </c>
      <c r="G293" s="5">
        <v>1.84</v>
      </c>
      <c r="H293" s="5">
        <f t="shared" si="112"/>
        <v>1.84</v>
      </c>
      <c r="I293" s="28">
        <f t="shared" si="113"/>
        <v>5881.008000000001</v>
      </c>
      <c r="J293" s="5">
        <f t="shared" si="114"/>
        <v>0</v>
      </c>
      <c r="K293" s="5">
        <f t="shared" si="115"/>
        <v>1.9679192306399997</v>
      </c>
      <c r="L293" s="27">
        <f t="shared" si="116"/>
        <v>1.9679192306399997</v>
      </c>
      <c r="M293" s="61">
        <f t="shared" si="117"/>
        <v>6289.863444971567</v>
      </c>
      <c r="N293" s="34">
        <f t="shared" si="118"/>
        <v>12170.871444971568</v>
      </c>
      <c r="O293" s="34">
        <v>0.03</v>
      </c>
      <c r="P293" s="34"/>
      <c r="Q293" s="5">
        <f t="shared" si="119"/>
        <v>12170.841444971567</v>
      </c>
      <c r="R293" s="30">
        <f t="shared" si="106"/>
        <v>12170.841444971567</v>
      </c>
      <c r="S293" s="1">
        <v>980.17</v>
      </c>
      <c r="T293" s="1">
        <v>980.17</v>
      </c>
      <c r="U293" s="1">
        <v>980.17</v>
      </c>
      <c r="V293" s="1">
        <v>980.17</v>
      </c>
      <c r="W293" s="1">
        <v>980.17</v>
      </c>
      <c r="X293" s="1">
        <v>980.17</v>
      </c>
      <c r="Y293" s="1">
        <v>1049.42</v>
      </c>
      <c r="Z293" s="1">
        <v>1049.42</v>
      </c>
      <c r="AA293" s="1">
        <v>1049.42</v>
      </c>
      <c r="AB293" s="1">
        <v>406.23</v>
      </c>
      <c r="AC293" s="165">
        <f t="shared" si="120"/>
        <v>9435.509999999998</v>
      </c>
      <c r="AD293" s="1">
        <v>0</v>
      </c>
      <c r="AE293" s="1">
        <v>643.19</v>
      </c>
      <c r="AF293" s="1"/>
      <c r="AG293" s="1">
        <v>1049.42</v>
      </c>
      <c r="AH293" s="1">
        <v>0</v>
      </c>
      <c r="AI293" s="1">
        <v>1049.42</v>
      </c>
      <c r="AJ293" s="6">
        <f t="shared" si="121"/>
        <v>12177.539999999999</v>
      </c>
      <c r="AK293" s="1"/>
      <c r="AL293" s="1"/>
      <c r="AM293" s="1"/>
      <c r="AN293" s="1"/>
      <c r="AO293" s="6">
        <f t="shared" si="122"/>
        <v>12177.539999999999</v>
      </c>
      <c r="AP293" s="136">
        <f t="shared" si="123"/>
        <v>-6.698555028431656</v>
      </c>
      <c r="AQ293" s="110"/>
      <c r="AR293" s="110"/>
      <c r="AS293" s="111"/>
      <c r="AT293" s="111">
        <f t="shared" si="124"/>
        <v>-6.698555028431656</v>
      </c>
      <c r="AU293" s="121"/>
      <c r="AV293" s="111"/>
      <c r="AW293" s="111"/>
      <c r="AX293" s="111"/>
      <c r="AY293" s="116"/>
      <c r="AZ293" s="172">
        <f t="shared" si="95"/>
        <v>0</v>
      </c>
      <c r="BA293" s="130">
        <v>96285.27</v>
      </c>
    </row>
    <row r="294" spans="1:53" ht="12.75">
      <c r="A294" s="1">
        <v>11</v>
      </c>
      <c r="B294" s="10" t="s">
        <v>302</v>
      </c>
      <c r="C294" s="1">
        <v>338.3</v>
      </c>
      <c r="D294" s="1">
        <v>0</v>
      </c>
      <c r="E294" s="7">
        <f t="shared" si="111"/>
        <v>338.3</v>
      </c>
      <c r="F294" s="5">
        <v>0</v>
      </c>
      <c r="G294" s="5">
        <v>2.8</v>
      </c>
      <c r="H294" s="5">
        <f t="shared" si="112"/>
        <v>2.8</v>
      </c>
      <c r="I294" s="28">
        <f t="shared" si="113"/>
        <v>5683.4400000000005</v>
      </c>
      <c r="J294" s="5">
        <f t="shared" si="114"/>
        <v>0</v>
      </c>
      <c r="K294" s="5">
        <f t="shared" si="115"/>
        <v>2.994659698799999</v>
      </c>
      <c r="L294" s="27">
        <f t="shared" si="116"/>
        <v>2.994659698799999</v>
      </c>
      <c r="M294" s="61">
        <f t="shared" si="117"/>
        <v>6078.560256624239</v>
      </c>
      <c r="N294" s="34">
        <f t="shared" si="118"/>
        <v>11762.00025662424</v>
      </c>
      <c r="O294" s="34">
        <v>32738.77</v>
      </c>
      <c r="P294" s="34"/>
      <c r="Q294" s="5">
        <f t="shared" si="119"/>
        <v>-20976.76974337576</v>
      </c>
      <c r="R294" s="30">
        <v>7469.66</v>
      </c>
      <c r="S294" s="1">
        <v>790.43</v>
      </c>
      <c r="T294" s="1">
        <v>622.47</v>
      </c>
      <c r="U294" s="1">
        <v>622.47</v>
      </c>
      <c r="V294" s="1">
        <v>622.47</v>
      </c>
      <c r="W294" s="1">
        <v>622.47</v>
      </c>
      <c r="X294" s="1">
        <v>622.47</v>
      </c>
      <c r="Y294" s="1">
        <v>666.45</v>
      </c>
      <c r="Z294" s="1">
        <v>666.45</v>
      </c>
      <c r="AA294" s="1">
        <v>666.45</v>
      </c>
      <c r="AB294" s="1">
        <v>257.98</v>
      </c>
      <c r="AC294" s="165">
        <f t="shared" si="120"/>
        <v>6160.110000000001</v>
      </c>
      <c r="AD294" s="1">
        <v>0</v>
      </c>
      <c r="AE294" s="1">
        <v>408.47</v>
      </c>
      <c r="AF294" s="1">
        <v>635.21</v>
      </c>
      <c r="AG294" s="1">
        <v>666.45</v>
      </c>
      <c r="AH294" s="1">
        <v>0</v>
      </c>
      <c r="AI294" s="1">
        <v>666.45</v>
      </c>
      <c r="AJ294" s="6">
        <f t="shared" si="121"/>
        <v>8536.69</v>
      </c>
      <c r="AK294" s="1"/>
      <c r="AL294" s="1"/>
      <c r="AM294" s="1"/>
      <c r="AN294" s="1"/>
      <c r="AO294" s="6">
        <f t="shared" si="122"/>
        <v>8536.69</v>
      </c>
      <c r="AP294" s="136">
        <f t="shared" si="123"/>
        <v>-1067.0300000000007</v>
      </c>
      <c r="AQ294" s="110"/>
      <c r="AR294" s="110"/>
      <c r="AS294" s="111"/>
      <c r="AT294" s="111">
        <f t="shared" si="124"/>
        <v>-1067.0300000000007</v>
      </c>
      <c r="AU294" s="121"/>
      <c r="AV294" s="111"/>
      <c r="AW294" s="111"/>
      <c r="AX294" s="111"/>
      <c r="AY294" s="116"/>
      <c r="AZ294" s="172">
        <f t="shared" si="95"/>
        <v>0</v>
      </c>
      <c r="BA294" s="130">
        <v>42104.38</v>
      </c>
    </row>
    <row r="295" spans="1:53" ht="12.75">
      <c r="A295" s="1">
        <v>12</v>
      </c>
      <c r="B295" s="84" t="s">
        <v>303</v>
      </c>
      <c r="C295" s="1">
        <v>371.2</v>
      </c>
      <c r="D295" s="1">
        <v>0</v>
      </c>
      <c r="E295" s="7">
        <f t="shared" si="111"/>
        <v>371.2</v>
      </c>
      <c r="F295" s="5">
        <v>0</v>
      </c>
      <c r="G295" s="5">
        <v>2.8</v>
      </c>
      <c r="H295" s="5">
        <f t="shared" si="112"/>
        <v>2.8</v>
      </c>
      <c r="I295" s="28">
        <f t="shared" si="113"/>
        <v>6236.16</v>
      </c>
      <c r="J295" s="5">
        <f t="shared" si="114"/>
        <v>0</v>
      </c>
      <c r="K295" s="5">
        <f t="shared" si="115"/>
        <v>2.994659698799999</v>
      </c>
      <c r="L295" s="27">
        <f t="shared" si="116"/>
        <v>2.994659698799999</v>
      </c>
      <c r="M295" s="61">
        <f t="shared" si="117"/>
        <v>6669.706081167358</v>
      </c>
      <c r="N295" s="34">
        <f t="shared" si="118"/>
        <v>12905.866081167358</v>
      </c>
      <c r="O295" s="34">
        <v>12444.26</v>
      </c>
      <c r="P295" s="34"/>
      <c r="Q295" s="5">
        <f t="shared" si="119"/>
        <v>461.60608116735784</v>
      </c>
      <c r="R295" s="30">
        <v>8171.81</v>
      </c>
      <c r="S295" s="1">
        <v>848.94</v>
      </c>
      <c r="T295" s="1">
        <v>680.98</v>
      </c>
      <c r="U295" s="1">
        <v>680.98</v>
      </c>
      <c r="V295" s="1">
        <v>680.98</v>
      </c>
      <c r="W295" s="1">
        <v>680.98</v>
      </c>
      <c r="X295" s="1">
        <v>680.98</v>
      </c>
      <c r="Y295" s="1">
        <v>729.1</v>
      </c>
      <c r="Z295" s="1">
        <v>729.1</v>
      </c>
      <c r="AA295" s="1">
        <v>729.1</v>
      </c>
      <c r="AB295" s="1">
        <v>282.23</v>
      </c>
      <c r="AC295" s="165">
        <f t="shared" si="120"/>
        <v>6723.370000000001</v>
      </c>
      <c r="AD295" s="1">
        <v>0</v>
      </c>
      <c r="AE295" s="1">
        <v>446.87</v>
      </c>
      <c r="AF295" s="1">
        <v>0</v>
      </c>
      <c r="AG295" s="1">
        <v>729.1</v>
      </c>
      <c r="AH295" s="1">
        <v>715.5</v>
      </c>
      <c r="AI295" s="1">
        <v>729.1</v>
      </c>
      <c r="AJ295" s="6">
        <f t="shared" si="121"/>
        <v>9343.94</v>
      </c>
      <c r="AK295" s="1"/>
      <c r="AL295" s="1"/>
      <c r="AM295" s="1"/>
      <c r="AN295" s="1"/>
      <c r="AO295" s="6">
        <f t="shared" si="122"/>
        <v>9343.94</v>
      </c>
      <c r="AP295" s="136">
        <f t="shared" si="123"/>
        <v>-1172.13</v>
      </c>
      <c r="AQ295" s="110"/>
      <c r="AR295" s="110"/>
      <c r="AS295" s="111"/>
      <c r="AT295" s="111">
        <f t="shared" si="124"/>
        <v>-1172.13</v>
      </c>
      <c r="AU295" s="121"/>
      <c r="AV295" s="111"/>
      <c r="AW295" s="111"/>
      <c r="AX295" s="111"/>
      <c r="AY295" s="116"/>
      <c r="AZ295" s="172">
        <f t="shared" si="95"/>
        <v>0</v>
      </c>
      <c r="BA295" s="130">
        <v>95552.59</v>
      </c>
    </row>
    <row r="296" spans="1:53" ht="12.75">
      <c r="A296" s="1">
        <v>13</v>
      </c>
      <c r="B296" s="84" t="s">
        <v>304</v>
      </c>
      <c r="C296" s="1">
        <v>579.8</v>
      </c>
      <c r="D296" s="1">
        <v>0</v>
      </c>
      <c r="E296" s="7">
        <f t="shared" si="111"/>
        <v>579.8</v>
      </c>
      <c r="F296" s="5">
        <v>0</v>
      </c>
      <c r="G296" s="5">
        <v>2.8</v>
      </c>
      <c r="H296" s="5">
        <f t="shared" si="112"/>
        <v>2.8</v>
      </c>
      <c r="I296" s="28">
        <f t="shared" si="113"/>
        <v>9740.64</v>
      </c>
      <c r="J296" s="5">
        <f t="shared" si="114"/>
        <v>0</v>
      </c>
      <c r="K296" s="5">
        <f t="shared" si="115"/>
        <v>2.994659698799999</v>
      </c>
      <c r="L296" s="27">
        <f t="shared" si="116"/>
        <v>2.994659698799999</v>
      </c>
      <c r="M296" s="61">
        <f t="shared" si="117"/>
        <v>10417.822160185435</v>
      </c>
      <c r="N296" s="34">
        <f t="shared" si="118"/>
        <v>20158.462160185434</v>
      </c>
      <c r="O296" s="34"/>
      <c r="P296" s="34"/>
      <c r="Q296" s="5">
        <f t="shared" si="119"/>
        <v>20158.462160185434</v>
      </c>
      <c r="R296" s="30">
        <f t="shared" si="106"/>
        <v>20158.462160185434</v>
      </c>
      <c r="S296" s="1">
        <v>1234.42</v>
      </c>
      <c r="T296" s="1">
        <v>1066.46</v>
      </c>
      <c r="U296" s="1">
        <v>1066.46</v>
      </c>
      <c r="V296" s="1">
        <v>1066.46</v>
      </c>
      <c r="W296" s="1">
        <v>1066.46</v>
      </c>
      <c r="X296" s="1">
        <v>1066.46</v>
      </c>
      <c r="Y296" s="1">
        <v>1141.81</v>
      </c>
      <c r="Z296" s="1">
        <v>1141.81</v>
      </c>
      <c r="AA296" s="1">
        <v>1141.81</v>
      </c>
      <c r="AB296" s="1">
        <v>441.99</v>
      </c>
      <c r="AC296" s="165">
        <f t="shared" si="120"/>
        <v>10434.14</v>
      </c>
      <c r="AD296" s="1">
        <v>1265.56</v>
      </c>
      <c r="AE296" s="1">
        <v>699.82</v>
      </c>
      <c r="AF296" s="1">
        <v>635.21</v>
      </c>
      <c r="AG296" s="1">
        <v>1141.81</v>
      </c>
      <c r="AH296" s="1">
        <v>0</v>
      </c>
      <c r="AI296" s="1">
        <v>1141.81</v>
      </c>
      <c r="AJ296" s="6">
        <f t="shared" si="121"/>
        <v>15318.349999999999</v>
      </c>
      <c r="AK296" s="1"/>
      <c r="AL296" s="1"/>
      <c r="AM296" s="1"/>
      <c r="AN296" s="1"/>
      <c r="AO296" s="6">
        <f t="shared" si="122"/>
        <v>15318.349999999999</v>
      </c>
      <c r="AP296" s="91">
        <f t="shared" si="123"/>
        <v>4840.112160185436</v>
      </c>
      <c r="AQ296" s="10"/>
      <c r="AR296" s="10"/>
      <c r="AS296" s="34"/>
      <c r="AT296" s="116">
        <f t="shared" si="124"/>
        <v>4840.112160185436</v>
      </c>
      <c r="AU296" s="116"/>
      <c r="AV296" s="116"/>
      <c r="AW296" s="116"/>
      <c r="AX296" s="116">
        <f aca="true" t="shared" si="125" ref="AX296:AX301">AT296+AU296-AV296</f>
        <v>4840.112160185436</v>
      </c>
      <c r="AY296" s="116"/>
      <c r="AZ296" s="172">
        <f t="shared" si="95"/>
        <v>4840.112160185436</v>
      </c>
      <c r="BA296" s="130">
        <v>130104.67</v>
      </c>
    </row>
    <row r="297" spans="1:53" ht="12.75">
      <c r="A297" s="1">
        <v>14</v>
      </c>
      <c r="B297" s="84" t="s">
        <v>305</v>
      </c>
      <c r="C297" s="1">
        <v>585.6</v>
      </c>
      <c r="D297" s="1">
        <v>0</v>
      </c>
      <c r="E297" s="7">
        <f t="shared" si="111"/>
        <v>585.6</v>
      </c>
      <c r="F297" s="5">
        <v>0</v>
      </c>
      <c r="G297" s="5">
        <v>2.8</v>
      </c>
      <c r="H297" s="5">
        <f t="shared" si="112"/>
        <v>2.8</v>
      </c>
      <c r="I297" s="28">
        <f t="shared" si="113"/>
        <v>9838.08</v>
      </c>
      <c r="J297" s="5">
        <f t="shared" si="114"/>
        <v>0</v>
      </c>
      <c r="K297" s="5">
        <f t="shared" si="115"/>
        <v>2.994659698799999</v>
      </c>
      <c r="L297" s="27">
        <f t="shared" si="116"/>
        <v>2.994659698799999</v>
      </c>
      <c r="M297" s="61">
        <f t="shared" si="117"/>
        <v>10522.036317703678</v>
      </c>
      <c r="N297" s="34">
        <f t="shared" si="118"/>
        <v>20360.11631770368</v>
      </c>
      <c r="O297" s="34"/>
      <c r="P297" s="34"/>
      <c r="Q297" s="5">
        <f t="shared" si="119"/>
        <v>20360.11631770368</v>
      </c>
      <c r="R297" s="30">
        <f t="shared" si="106"/>
        <v>20360.11631770368</v>
      </c>
      <c r="S297" s="1">
        <v>1244.18</v>
      </c>
      <c r="T297" s="1">
        <v>1076.22</v>
      </c>
      <c r="U297" s="1">
        <v>1076.22</v>
      </c>
      <c r="V297" s="1">
        <v>1076.22</v>
      </c>
      <c r="W297" s="1">
        <v>1076.22</v>
      </c>
      <c r="X297" s="1">
        <v>1076.22</v>
      </c>
      <c r="Y297" s="1">
        <v>1152.25</v>
      </c>
      <c r="Z297" s="1">
        <v>1152.25</v>
      </c>
      <c r="AA297" s="1">
        <v>1152.25</v>
      </c>
      <c r="AB297" s="1">
        <v>446.03</v>
      </c>
      <c r="AC297" s="165">
        <f t="shared" si="120"/>
        <v>10528.060000000001</v>
      </c>
      <c r="AD297" s="1">
        <v>0</v>
      </c>
      <c r="AE297" s="1">
        <v>706.22</v>
      </c>
      <c r="AF297" s="1">
        <v>0</v>
      </c>
      <c r="AG297" s="1">
        <v>1152.25</v>
      </c>
      <c r="AH297" s="1">
        <v>715.5</v>
      </c>
      <c r="AI297" s="1">
        <v>1152.25</v>
      </c>
      <c r="AJ297" s="6">
        <f t="shared" si="121"/>
        <v>14254.28</v>
      </c>
      <c r="AK297" s="1"/>
      <c r="AL297" s="1"/>
      <c r="AM297" s="1"/>
      <c r="AN297" s="1"/>
      <c r="AO297" s="6">
        <f t="shared" si="122"/>
        <v>14254.28</v>
      </c>
      <c r="AP297" s="91">
        <f t="shared" si="123"/>
        <v>6105.836317703679</v>
      </c>
      <c r="AQ297" s="10"/>
      <c r="AR297" s="10"/>
      <c r="AS297" s="34"/>
      <c r="AT297" s="116">
        <f t="shared" si="124"/>
        <v>6105.836317703679</v>
      </c>
      <c r="AU297" s="116"/>
      <c r="AV297" s="116"/>
      <c r="AW297" s="116"/>
      <c r="AX297" s="116">
        <f t="shared" si="125"/>
        <v>6105.836317703679</v>
      </c>
      <c r="AY297" s="116"/>
      <c r="AZ297" s="172">
        <f t="shared" si="95"/>
        <v>6105.836317703679</v>
      </c>
      <c r="BA297" s="130">
        <v>68004.78</v>
      </c>
    </row>
    <row r="298" spans="1:53" ht="12.75">
      <c r="A298" s="1">
        <v>15</v>
      </c>
      <c r="B298" s="84" t="s">
        <v>306</v>
      </c>
      <c r="C298" s="1">
        <v>399.63</v>
      </c>
      <c r="D298" s="1">
        <v>0</v>
      </c>
      <c r="E298" s="7">
        <f t="shared" si="111"/>
        <v>399.63</v>
      </c>
      <c r="F298" s="5">
        <v>0</v>
      </c>
      <c r="G298" s="5">
        <v>2.8</v>
      </c>
      <c r="H298" s="5">
        <f t="shared" si="112"/>
        <v>2.8</v>
      </c>
      <c r="I298" s="28">
        <f t="shared" si="113"/>
        <v>6713.784</v>
      </c>
      <c r="J298" s="5">
        <f t="shared" si="114"/>
        <v>0</v>
      </c>
      <c r="K298" s="5">
        <f t="shared" si="115"/>
        <v>2.994659698799999</v>
      </c>
      <c r="L298" s="27">
        <f t="shared" si="116"/>
        <v>2.994659698799999</v>
      </c>
      <c r="M298" s="61">
        <f t="shared" si="117"/>
        <v>7180.535132588662</v>
      </c>
      <c r="N298" s="34">
        <f t="shared" si="118"/>
        <v>13894.319132588662</v>
      </c>
      <c r="O298" s="34"/>
      <c r="P298" s="34"/>
      <c r="Q298" s="5">
        <f t="shared" si="119"/>
        <v>13894.319132588662</v>
      </c>
      <c r="R298" s="30">
        <f t="shared" si="106"/>
        <v>13894.319132588662</v>
      </c>
      <c r="S298" s="1">
        <v>902.67</v>
      </c>
      <c r="T298" s="1">
        <v>734.71</v>
      </c>
      <c r="U298" s="1">
        <v>734.71</v>
      </c>
      <c r="V298" s="1">
        <v>734.71</v>
      </c>
      <c r="W298" s="1">
        <v>734.71</v>
      </c>
      <c r="X298" s="1">
        <v>734.71</v>
      </c>
      <c r="Y298" s="1">
        <v>786.62</v>
      </c>
      <c r="Z298" s="1">
        <v>786.62</v>
      </c>
      <c r="AA298" s="1">
        <v>786.62</v>
      </c>
      <c r="AB298" s="1">
        <v>304.5</v>
      </c>
      <c r="AC298" s="165">
        <f t="shared" si="120"/>
        <v>7240.58</v>
      </c>
      <c r="AD298" s="1">
        <v>1265.56</v>
      </c>
      <c r="AE298" s="1">
        <v>482.12</v>
      </c>
      <c r="AF298" s="1">
        <v>635.21</v>
      </c>
      <c r="AG298" s="1">
        <v>786.62</v>
      </c>
      <c r="AH298" s="1">
        <v>0</v>
      </c>
      <c r="AI298" s="1">
        <v>786.62</v>
      </c>
      <c r="AJ298" s="6">
        <f t="shared" si="121"/>
        <v>11196.710000000003</v>
      </c>
      <c r="AK298" s="1"/>
      <c r="AL298" s="1"/>
      <c r="AM298" s="1"/>
      <c r="AN298" s="1"/>
      <c r="AO298" s="6">
        <f t="shared" si="122"/>
        <v>11196.710000000003</v>
      </c>
      <c r="AP298" s="91">
        <f t="shared" si="123"/>
        <v>2697.609132588659</v>
      </c>
      <c r="AQ298" s="10"/>
      <c r="AR298" s="10"/>
      <c r="AS298" s="34"/>
      <c r="AT298" s="116">
        <f t="shared" si="124"/>
        <v>2697.609132588659</v>
      </c>
      <c r="AU298" s="116"/>
      <c r="AV298" s="116"/>
      <c r="AW298" s="116"/>
      <c r="AX298" s="116">
        <f t="shared" si="125"/>
        <v>2697.609132588659</v>
      </c>
      <c r="AY298" s="116"/>
      <c r="AZ298" s="172">
        <f t="shared" si="95"/>
        <v>2697.609132588659</v>
      </c>
      <c r="BA298" s="130">
        <v>82320.78</v>
      </c>
    </row>
    <row r="299" spans="1:53" ht="12.75">
      <c r="A299" s="1">
        <v>16</v>
      </c>
      <c r="B299" s="84" t="s">
        <v>5</v>
      </c>
      <c r="C299" s="6">
        <v>407.4</v>
      </c>
      <c r="D299" s="6">
        <v>0</v>
      </c>
      <c r="E299" s="25">
        <f t="shared" si="111"/>
        <v>407.4</v>
      </c>
      <c r="F299" s="5">
        <v>0</v>
      </c>
      <c r="G299" s="5">
        <v>1.84</v>
      </c>
      <c r="H299" s="5">
        <f t="shared" si="112"/>
        <v>1.84</v>
      </c>
      <c r="I299" s="28">
        <f t="shared" si="113"/>
        <v>4497.696</v>
      </c>
      <c r="J299" s="5">
        <f t="shared" si="114"/>
        <v>0</v>
      </c>
      <c r="K299" s="5">
        <f t="shared" si="115"/>
        <v>1.9679192306399997</v>
      </c>
      <c r="L299" s="27">
        <f t="shared" si="116"/>
        <v>1.9679192306399997</v>
      </c>
      <c r="M299" s="61">
        <f t="shared" si="117"/>
        <v>4810.381767376415</v>
      </c>
      <c r="N299" s="34">
        <f t="shared" si="118"/>
        <v>9308.077767376415</v>
      </c>
      <c r="O299" s="34"/>
      <c r="P299" s="34"/>
      <c r="Q299" s="5">
        <f t="shared" si="119"/>
        <v>9308.077767376415</v>
      </c>
      <c r="R299" s="30">
        <f t="shared" si="106"/>
        <v>9308.077767376415</v>
      </c>
      <c r="S299" s="1">
        <v>748.14</v>
      </c>
      <c r="T299" s="1">
        <v>748.14</v>
      </c>
      <c r="U299" s="1">
        <v>748.14</v>
      </c>
      <c r="V299" s="1">
        <v>748.14</v>
      </c>
      <c r="W299" s="1">
        <v>748.14</v>
      </c>
      <c r="X299" s="1">
        <v>748.14</v>
      </c>
      <c r="Y299" s="1">
        <v>801</v>
      </c>
      <c r="Z299" s="1">
        <v>801</v>
      </c>
      <c r="AA299" s="1">
        <v>801</v>
      </c>
      <c r="AB299" s="1">
        <v>310.07</v>
      </c>
      <c r="AC299" s="165">
        <f t="shared" si="120"/>
        <v>7201.91</v>
      </c>
      <c r="AD299" s="1">
        <v>0</v>
      </c>
      <c r="AE299" s="1">
        <v>490.94</v>
      </c>
      <c r="AF299" s="1">
        <v>0</v>
      </c>
      <c r="AG299" s="1">
        <v>801</v>
      </c>
      <c r="AH299" s="1">
        <v>0</v>
      </c>
      <c r="AI299" s="1">
        <v>801</v>
      </c>
      <c r="AJ299" s="6">
        <f t="shared" si="121"/>
        <v>9294.849999999999</v>
      </c>
      <c r="AK299" s="1"/>
      <c r="AL299" s="1"/>
      <c r="AM299" s="1"/>
      <c r="AN299" s="1"/>
      <c r="AO299" s="6">
        <f t="shared" si="122"/>
        <v>9294.849999999999</v>
      </c>
      <c r="AP299" s="91">
        <f t="shared" si="123"/>
        <v>13.227767376416523</v>
      </c>
      <c r="AQ299" s="10"/>
      <c r="AR299" s="10"/>
      <c r="AS299" s="34"/>
      <c r="AT299" s="116">
        <f t="shared" si="124"/>
        <v>13.227767376416523</v>
      </c>
      <c r="AU299" s="116"/>
      <c r="AV299" s="116"/>
      <c r="AW299" s="116"/>
      <c r="AX299" s="116">
        <f t="shared" si="125"/>
        <v>13.227767376416523</v>
      </c>
      <c r="AY299" s="116"/>
      <c r="AZ299" s="172">
        <f t="shared" si="95"/>
        <v>13.227767376416523</v>
      </c>
      <c r="BA299" s="130">
        <v>71210.31</v>
      </c>
    </row>
    <row r="300" spans="1:53" ht="12.75">
      <c r="A300" s="1">
        <v>17</v>
      </c>
      <c r="B300" s="117" t="s">
        <v>452</v>
      </c>
      <c r="C300" s="1">
        <v>535.3</v>
      </c>
      <c r="D300" s="1">
        <v>0</v>
      </c>
      <c r="E300" s="7">
        <f t="shared" si="111"/>
        <v>535.3</v>
      </c>
      <c r="F300" s="5">
        <v>0</v>
      </c>
      <c r="G300" s="5">
        <v>1.84</v>
      </c>
      <c r="H300" s="5">
        <f t="shared" si="112"/>
        <v>1.84</v>
      </c>
      <c r="I300" s="28">
        <f t="shared" si="113"/>
        <v>5909.7119999999995</v>
      </c>
      <c r="J300" s="5">
        <f t="shared" si="114"/>
        <v>0</v>
      </c>
      <c r="K300" s="5">
        <f t="shared" si="115"/>
        <v>1.9679192306399997</v>
      </c>
      <c r="L300" s="27">
        <f t="shared" si="116"/>
        <v>1.9679192306399997</v>
      </c>
      <c r="M300" s="61">
        <f>L300*E300*1</f>
        <v>1053.4271641615917</v>
      </c>
      <c r="N300" s="34">
        <f t="shared" si="118"/>
        <v>6963.139164161591</v>
      </c>
      <c r="O300" s="34">
        <v>0.02</v>
      </c>
      <c r="P300" s="34"/>
      <c r="Q300" s="5">
        <f t="shared" si="119"/>
        <v>6963.119164161591</v>
      </c>
      <c r="R300" s="30">
        <f t="shared" si="106"/>
        <v>6963.119164161591</v>
      </c>
      <c r="S300" s="1">
        <v>1004.09</v>
      </c>
      <c r="T300" s="1">
        <v>1004.09</v>
      </c>
      <c r="U300" s="1">
        <v>1004.09</v>
      </c>
      <c r="V300" s="1">
        <v>1004.09</v>
      </c>
      <c r="W300" s="1">
        <v>1004.09</v>
      </c>
      <c r="X300" s="1">
        <v>1004.09</v>
      </c>
      <c r="Y300" s="1">
        <v>1075.03</v>
      </c>
      <c r="Z300" s="1">
        <v>0</v>
      </c>
      <c r="AA300" s="1">
        <v>0</v>
      </c>
      <c r="AB300" s="1">
        <v>0</v>
      </c>
      <c r="AC300" s="165">
        <f t="shared" si="120"/>
        <v>7099.57</v>
      </c>
      <c r="AD300" s="1">
        <v>0</v>
      </c>
      <c r="AE300" s="1">
        <v>0</v>
      </c>
      <c r="AF300" s="1"/>
      <c r="AG300" s="1">
        <v>0</v>
      </c>
      <c r="AH300" s="1">
        <v>0</v>
      </c>
      <c r="AI300" s="1">
        <v>0</v>
      </c>
      <c r="AJ300" s="6">
        <f t="shared" si="121"/>
        <v>7099.57</v>
      </c>
      <c r="AK300" s="1"/>
      <c r="AL300" s="1"/>
      <c r="AM300" s="1"/>
      <c r="AN300" s="1"/>
      <c r="AO300" s="6">
        <f t="shared" si="122"/>
        <v>7099.57</v>
      </c>
      <c r="AP300" s="91">
        <f t="shared" si="123"/>
        <v>-136.45083583840915</v>
      </c>
      <c r="AQ300" s="10"/>
      <c r="AR300" s="10"/>
      <c r="AS300" s="34"/>
      <c r="AT300" s="116">
        <f t="shared" si="124"/>
        <v>-136.45083583840915</v>
      </c>
      <c r="AU300" s="116"/>
      <c r="AV300" s="116"/>
      <c r="AW300" s="116"/>
      <c r="AX300" s="116">
        <f t="shared" si="125"/>
        <v>-136.45083583840915</v>
      </c>
      <c r="AY300" s="116"/>
      <c r="AZ300" s="172">
        <f t="shared" si="95"/>
        <v>-136.45083583840915</v>
      </c>
      <c r="BA300" s="116"/>
    </row>
    <row r="301" spans="1:53" ht="12.75">
      <c r="A301" s="1">
        <v>18</v>
      </c>
      <c r="B301" s="117" t="s">
        <v>453</v>
      </c>
      <c r="C301" s="1">
        <v>525.9</v>
      </c>
      <c r="D301" s="1">
        <v>0</v>
      </c>
      <c r="E301" s="7">
        <f t="shared" si="111"/>
        <v>525.9</v>
      </c>
      <c r="F301" s="5">
        <v>0</v>
      </c>
      <c r="G301" s="5">
        <v>1.84</v>
      </c>
      <c r="H301" s="5">
        <f t="shared" si="112"/>
        <v>1.84</v>
      </c>
      <c r="I301" s="28">
        <f t="shared" si="113"/>
        <v>5805.936</v>
      </c>
      <c r="J301" s="5">
        <f t="shared" si="114"/>
        <v>0</v>
      </c>
      <c r="K301" s="5">
        <f t="shared" si="115"/>
        <v>1.9679192306399997</v>
      </c>
      <c r="L301" s="27">
        <f t="shared" si="116"/>
        <v>1.9679192306399997</v>
      </c>
      <c r="M301" s="61">
        <f>L301*E301*1</f>
        <v>1034.9287233935759</v>
      </c>
      <c r="N301" s="34">
        <f t="shared" si="118"/>
        <v>6840.864723393575</v>
      </c>
      <c r="O301" s="34">
        <v>0.03</v>
      </c>
      <c r="P301" s="34"/>
      <c r="Q301" s="5">
        <f t="shared" si="119"/>
        <v>6840.834723393576</v>
      </c>
      <c r="R301" s="30">
        <f t="shared" si="106"/>
        <v>6840.834723393576</v>
      </c>
      <c r="S301" s="1">
        <v>967.66</v>
      </c>
      <c r="T301" s="1">
        <v>967.66</v>
      </c>
      <c r="U301" s="1">
        <v>967.66</v>
      </c>
      <c r="V301" s="1">
        <v>967.66</v>
      </c>
      <c r="W301" s="1">
        <v>967.66</v>
      </c>
      <c r="X301" s="1">
        <v>967.66</v>
      </c>
      <c r="Y301" s="1">
        <v>1036.02</v>
      </c>
      <c r="Z301" s="1">
        <v>0</v>
      </c>
      <c r="AA301" s="1">
        <v>0</v>
      </c>
      <c r="AB301" s="1">
        <v>0</v>
      </c>
      <c r="AC301" s="165">
        <f t="shared" si="120"/>
        <v>6841.98</v>
      </c>
      <c r="AD301" s="1">
        <v>0</v>
      </c>
      <c r="AE301" s="1">
        <v>0</v>
      </c>
      <c r="AF301" s="1"/>
      <c r="AG301" s="1">
        <v>0</v>
      </c>
      <c r="AH301" s="1">
        <v>0</v>
      </c>
      <c r="AI301" s="1">
        <v>0</v>
      </c>
      <c r="AJ301" s="6">
        <f t="shared" si="121"/>
        <v>6841.98</v>
      </c>
      <c r="AK301" s="1"/>
      <c r="AL301" s="1"/>
      <c r="AM301" s="1"/>
      <c r="AN301" s="1"/>
      <c r="AO301" s="6">
        <f t="shared" si="122"/>
        <v>6841.98</v>
      </c>
      <c r="AP301" s="91">
        <f t="shared" si="123"/>
        <v>-1.1452766064239768</v>
      </c>
      <c r="AQ301" s="10"/>
      <c r="AR301" s="10"/>
      <c r="AS301" s="34"/>
      <c r="AT301" s="116">
        <f t="shared" si="124"/>
        <v>-1.1452766064239768</v>
      </c>
      <c r="AU301" s="116"/>
      <c r="AV301" s="116"/>
      <c r="AW301" s="116"/>
      <c r="AX301" s="116">
        <f t="shared" si="125"/>
        <v>-1.1452766064239768</v>
      </c>
      <c r="AY301" s="116"/>
      <c r="AZ301" s="172">
        <f t="shared" si="95"/>
        <v>-1.1452766064239768</v>
      </c>
      <c r="BA301" s="116"/>
    </row>
    <row r="302" spans="1:53" ht="12.75">
      <c r="A302" s="1">
        <v>19</v>
      </c>
      <c r="B302" s="10" t="s">
        <v>32</v>
      </c>
      <c r="C302" s="6">
        <v>515.8</v>
      </c>
      <c r="D302" s="6">
        <v>0</v>
      </c>
      <c r="E302" s="25">
        <f t="shared" si="111"/>
        <v>515.8</v>
      </c>
      <c r="F302" s="5">
        <v>0</v>
      </c>
      <c r="G302" s="5">
        <v>2.8</v>
      </c>
      <c r="H302" s="5">
        <f t="shared" si="112"/>
        <v>2.8</v>
      </c>
      <c r="I302" s="28">
        <f t="shared" si="113"/>
        <v>8665.439999999999</v>
      </c>
      <c r="J302" s="5">
        <f t="shared" si="114"/>
        <v>0</v>
      </c>
      <c r="K302" s="5">
        <f t="shared" si="115"/>
        <v>2.994659698799999</v>
      </c>
      <c r="L302" s="27">
        <f t="shared" si="116"/>
        <v>2.994659698799999</v>
      </c>
      <c r="M302" s="61">
        <f t="shared" si="117"/>
        <v>9267.872835846238</v>
      </c>
      <c r="N302" s="34">
        <f t="shared" si="118"/>
        <v>17933.312835846235</v>
      </c>
      <c r="O302" s="34">
        <v>35624.72</v>
      </c>
      <c r="P302" s="34">
        <v>19411.7</v>
      </c>
      <c r="Q302" s="5">
        <f t="shared" si="119"/>
        <v>-17691.407164153767</v>
      </c>
      <c r="R302" s="30">
        <v>11388.86</v>
      </c>
      <c r="S302" s="1">
        <v>949.07</v>
      </c>
      <c r="T302" s="1">
        <v>1999.89</v>
      </c>
      <c r="U302" s="1">
        <v>949.07</v>
      </c>
      <c r="V302" s="1">
        <v>949.07</v>
      </c>
      <c r="W302" s="1">
        <v>949.07</v>
      </c>
      <c r="X302" s="1">
        <v>949.07</v>
      </c>
      <c r="Y302" s="1">
        <v>1016.13</v>
      </c>
      <c r="Z302" s="1">
        <v>1016.13</v>
      </c>
      <c r="AA302" s="1">
        <v>1016.13</v>
      </c>
      <c r="AB302" s="1">
        <v>393.34</v>
      </c>
      <c r="AC302" s="165">
        <f t="shared" si="120"/>
        <v>10186.97</v>
      </c>
      <c r="AD302" s="1">
        <v>0</v>
      </c>
      <c r="AE302" s="1">
        <v>622.79</v>
      </c>
      <c r="AF302" s="1"/>
      <c r="AG302" s="1">
        <v>1016.13</v>
      </c>
      <c r="AH302" s="1">
        <v>0</v>
      </c>
      <c r="AI302" s="1">
        <v>2766.13</v>
      </c>
      <c r="AJ302" s="6">
        <f t="shared" si="121"/>
        <v>14592.019999999997</v>
      </c>
      <c r="AK302" s="1"/>
      <c r="AL302" s="1"/>
      <c r="AM302" s="1"/>
      <c r="AN302" s="1"/>
      <c r="AO302" s="6">
        <f t="shared" si="122"/>
        <v>14592.019999999997</v>
      </c>
      <c r="AP302" s="136">
        <f t="shared" si="123"/>
        <v>-3203.159999999996</v>
      </c>
      <c r="AQ302" s="110"/>
      <c r="AR302" s="110"/>
      <c r="AS302" s="111"/>
      <c r="AT302" s="111">
        <f t="shared" si="124"/>
        <v>-3203.159999999996</v>
      </c>
      <c r="AU302" s="121"/>
      <c r="AV302" s="111"/>
      <c r="AW302" s="111"/>
      <c r="AX302" s="111"/>
      <c r="AY302" s="116"/>
      <c r="AZ302" s="172">
        <f t="shared" si="95"/>
        <v>0</v>
      </c>
      <c r="BA302" s="130">
        <v>181347.97</v>
      </c>
    </row>
    <row r="303" spans="1:53" ht="12.75">
      <c r="A303" s="1">
        <v>20</v>
      </c>
      <c r="B303" s="10" t="s">
        <v>33</v>
      </c>
      <c r="C303" s="6">
        <v>507.4</v>
      </c>
      <c r="D303" s="6">
        <v>0</v>
      </c>
      <c r="E303" s="25">
        <f t="shared" si="111"/>
        <v>507.4</v>
      </c>
      <c r="F303" s="5">
        <v>0</v>
      </c>
      <c r="G303" s="5">
        <v>2.8</v>
      </c>
      <c r="H303" s="5">
        <f t="shared" si="112"/>
        <v>2.8</v>
      </c>
      <c r="I303" s="28">
        <f t="shared" si="113"/>
        <v>8524.32</v>
      </c>
      <c r="J303" s="5">
        <f t="shared" si="114"/>
        <v>0</v>
      </c>
      <c r="K303" s="5">
        <f t="shared" si="115"/>
        <v>2.994659698799999</v>
      </c>
      <c r="L303" s="27">
        <f t="shared" si="116"/>
        <v>2.994659698799999</v>
      </c>
      <c r="M303" s="61">
        <f t="shared" si="117"/>
        <v>9116.941987026717</v>
      </c>
      <c r="N303" s="34">
        <f t="shared" si="118"/>
        <v>17641.261987026715</v>
      </c>
      <c r="O303" s="34"/>
      <c r="P303" s="34"/>
      <c r="Q303" s="5">
        <f t="shared" si="119"/>
        <v>17641.261987026715</v>
      </c>
      <c r="R303" s="30">
        <f t="shared" si="106"/>
        <v>17641.261987026715</v>
      </c>
      <c r="S303" s="1">
        <v>933.62</v>
      </c>
      <c r="T303" s="1">
        <v>3854.91</v>
      </c>
      <c r="U303" s="1">
        <v>933.62</v>
      </c>
      <c r="V303" s="1">
        <v>933.62</v>
      </c>
      <c r="W303" s="1">
        <v>933.62</v>
      </c>
      <c r="X303" s="1">
        <v>933.62</v>
      </c>
      <c r="Y303" s="1">
        <v>999.58</v>
      </c>
      <c r="Z303" s="1">
        <v>999.58</v>
      </c>
      <c r="AA303" s="1">
        <v>999.58</v>
      </c>
      <c r="AB303" s="1">
        <v>386.93</v>
      </c>
      <c r="AC303" s="165">
        <f t="shared" si="120"/>
        <v>11908.68</v>
      </c>
      <c r="AD303" s="1">
        <v>0</v>
      </c>
      <c r="AE303" s="1">
        <v>612.64</v>
      </c>
      <c r="AF303" s="1"/>
      <c r="AG303" s="1">
        <v>999.58</v>
      </c>
      <c r="AH303" s="1">
        <v>0</v>
      </c>
      <c r="AI303" s="1">
        <v>2749.58</v>
      </c>
      <c r="AJ303" s="6">
        <f t="shared" si="121"/>
        <v>16270.48</v>
      </c>
      <c r="AK303" s="1"/>
      <c r="AL303" s="1"/>
      <c r="AM303" s="1"/>
      <c r="AN303" s="1"/>
      <c r="AO303" s="6">
        <f t="shared" si="122"/>
        <v>16270.48</v>
      </c>
      <c r="AP303" s="91">
        <f t="shared" si="123"/>
        <v>1370.7819870267158</v>
      </c>
      <c r="AQ303" s="10"/>
      <c r="AR303" s="10"/>
      <c r="AS303" s="34"/>
      <c r="AT303" s="116">
        <f t="shared" si="124"/>
        <v>1370.7819870267158</v>
      </c>
      <c r="AU303" s="116"/>
      <c r="AV303" s="116"/>
      <c r="AW303" s="116"/>
      <c r="AX303" s="116">
        <f>AT303+AU303-AV303</f>
        <v>1370.7819870267158</v>
      </c>
      <c r="AY303" s="116"/>
      <c r="AZ303" s="172">
        <f t="shared" si="95"/>
        <v>1370.7819870267158</v>
      </c>
      <c r="BA303" s="130">
        <v>196289.85</v>
      </c>
    </row>
    <row r="304" spans="1:53" ht="12.75">
      <c r="A304" s="1">
        <v>21</v>
      </c>
      <c r="B304" s="117" t="s">
        <v>307</v>
      </c>
      <c r="C304" s="1">
        <v>257.2</v>
      </c>
      <c r="D304" s="1">
        <v>0</v>
      </c>
      <c r="E304" s="7">
        <f t="shared" si="111"/>
        <v>257.2</v>
      </c>
      <c r="F304" s="5">
        <v>0</v>
      </c>
      <c r="G304" s="5">
        <v>1.84</v>
      </c>
      <c r="H304" s="5">
        <f t="shared" si="112"/>
        <v>1.84</v>
      </c>
      <c r="I304" s="28">
        <f t="shared" si="113"/>
        <v>2839.488</v>
      </c>
      <c r="J304" s="5">
        <f t="shared" si="114"/>
        <v>0</v>
      </c>
      <c r="K304" s="5">
        <f t="shared" si="115"/>
        <v>1.9679192306399997</v>
      </c>
      <c r="L304" s="27">
        <f t="shared" si="116"/>
        <v>1.9679192306399997</v>
      </c>
      <c r="M304" s="61">
        <f t="shared" si="117"/>
        <v>3036.8929567236473</v>
      </c>
      <c r="N304" s="34">
        <f t="shared" si="118"/>
        <v>5876.380956723648</v>
      </c>
      <c r="O304" s="34">
        <v>0.01</v>
      </c>
      <c r="P304" s="34"/>
      <c r="Q304" s="5">
        <f t="shared" si="119"/>
        <v>5876.370956723647</v>
      </c>
      <c r="R304" s="30">
        <f t="shared" si="106"/>
        <v>5876.370956723647</v>
      </c>
      <c r="S304" s="1">
        <v>473.25</v>
      </c>
      <c r="T304" s="1">
        <v>473.25</v>
      </c>
      <c r="U304" s="1">
        <v>473.25</v>
      </c>
      <c r="V304" s="1">
        <v>473.25</v>
      </c>
      <c r="W304" s="1">
        <v>473.25</v>
      </c>
      <c r="X304" s="1">
        <v>473.25</v>
      </c>
      <c r="Y304" s="1">
        <v>506.68</v>
      </c>
      <c r="Z304" s="1">
        <v>506.68</v>
      </c>
      <c r="AA304" s="1">
        <v>506.68</v>
      </c>
      <c r="AB304" s="1">
        <v>196.14</v>
      </c>
      <c r="AC304" s="165">
        <f t="shared" si="120"/>
        <v>4555.68</v>
      </c>
      <c r="AD304" s="1">
        <v>0</v>
      </c>
      <c r="AE304" s="1">
        <v>310.55</v>
      </c>
      <c r="AF304" s="1"/>
      <c r="AG304" s="1">
        <v>506.68</v>
      </c>
      <c r="AH304" s="1">
        <v>0</v>
      </c>
      <c r="AI304" s="94">
        <v>0</v>
      </c>
      <c r="AJ304" s="6">
        <f t="shared" si="121"/>
        <v>5372.910000000001</v>
      </c>
      <c r="AK304" s="1"/>
      <c r="AL304" s="1"/>
      <c r="AM304" s="1"/>
      <c r="AN304" s="1"/>
      <c r="AO304" s="6">
        <f t="shared" si="122"/>
        <v>5372.910000000001</v>
      </c>
      <c r="AP304" s="91">
        <f t="shared" si="123"/>
        <v>503.46095672364663</v>
      </c>
      <c r="AQ304" s="10"/>
      <c r="AR304" s="10"/>
      <c r="AS304" s="34"/>
      <c r="AT304" s="34">
        <f t="shared" si="124"/>
        <v>503.46095672364663</v>
      </c>
      <c r="AU304" s="116"/>
      <c r="AV304" s="34"/>
      <c r="AW304" s="116"/>
      <c r="AX304" s="116">
        <f>AT304+AU304-AV304</f>
        <v>503.46095672364663</v>
      </c>
      <c r="AY304" s="116"/>
      <c r="AZ304" s="172">
        <f t="shared" si="95"/>
        <v>503.46095672364663</v>
      </c>
      <c r="BA304" s="130">
        <v>38058.78</v>
      </c>
    </row>
    <row r="305" spans="1:53" ht="12.75">
      <c r="A305" s="1">
        <v>22</v>
      </c>
      <c r="B305" s="117" t="s">
        <v>459</v>
      </c>
      <c r="C305" s="1">
        <v>107.3</v>
      </c>
      <c r="D305" s="1">
        <v>0</v>
      </c>
      <c r="E305" s="7">
        <f t="shared" si="111"/>
        <v>107.3</v>
      </c>
      <c r="F305" s="5">
        <v>0</v>
      </c>
      <c r="G305" s="5">
        <v>1.84</v>
      </c>
      <c r="H305" s="5">
        <f t="shared" si="112"/>
        <v>1.84</v>
      </c>
      <c r="I305" s="28">
        <f>E305*H305*3</f>
        <v>592.296</v>
      </c>
      <c r="J305" s="5">
        <f t="shared" si="114"/>
        <v>0</v>
      </c>
      <c r="K305" s="5">
        <f t="shared" si="115"/>
        <v>1.9679192306399997</v>
      </c>
      <c r="L305" s="27">
        <f t="shared" si="116"/>
        <v>1.9679192306399997</v>
      </c>
      <c r="M305" s="61">
        <f>L305*E305*0</f>
        <v>0</v>
      </c>
      <c r="N305" s="34">
        <f t="shared" si="118"/>
        <v>592.296</v>
      </c>
      <c r="O305" s="34">
        <v>0.01</v>
      </c>
      <c r="P305" s="34"/>
      <c r="Q305" s="5">
        <f t="shared" si="119"/>
        <v>592.2860000000001</v>
      </c>
      <c r="R305" s="30">
        <f t="shared" si="106"/>
        <v>592.2860000000001</v>
      </c>
      <c r="S305" s="1">
        <v>197.43</v>
      </c>
      <c r="T305" s="1">
        <v>197.43</v>
      </c>
      <c r="U305" s="1">
        <v>197.43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65">
        <f t="shared" si="120"/>
        <v>592.29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6">
        <f t="shared" si="121"/>
        <v>592.29</v>
      </c>
      <c r="AK305" s="1"/>
      <c r="AL305" s="1"/>
      <c r="AM305" s="1"/>
      <c r="AN305" s="1"/>
      <c r="AO305" s="6">
        <f t="shared" si="122"/>
        <v>592.29</v>
      </c>
      <c r="AP305" s="91">
        <f t="shared" si="123"/>
        <v>-0.0039999999999054126</v>
      </c>
      <c r="AQ305" s="10"/>
      <c r="AR305" s="10"/>
      <c r="AS305" s="34"/>
      <c r="AT305" s="116">
        <f t="shared" si="124"/>
        <v>-0.0039999999999054126</v>
      </c>
      <c r="AU305" s="116"/>
      <c r="AV305" s="116"/>
      <c r="AW305" s="116"/>
      <c r="AX305" s="116">
        <f>AT305+AU305-AV305</f>
        <v>-0.0039999999999054126</v>
      </c>
      <c r="AY305" s="116"/>
      <c r="AZ305" s="172">
        <f t="shared" si="95"/>
        <v>-0.0039999999999054126</v>
      </c>
      <c r="BA305" s="116"/>
    </row>
    <row r="306" spans="1:53" ht="12.75">
      <c r="A306" s="1">
        <v>23</v>
      </c>
      <c r="B306" s="84" t="s">
        <v>36</v>
      </c>
      <c r="C306" s="6">
        <v>119.9</v>
      </c>
      <c r="D306" s="6">
        <v>0</v>
      </c>
      <c r="E306" s="25">
        <f t="shared" si="111"/>
        <v>119.9</v>
      </c>
      <c r="F306" s="5">
        <v>0</v>
      </c>
      <c r="G306" s="5">
        <v>1.84</v>
      </c>
      <c r="H306" s="5">
        <f t="shared" si="112"/>
        <v>1.84</v>
      </c>
      <c r="I306" s="28">
        <f t="shared" si="113"/>
        <v>1323.6960000000001</v>
      </c>
      <c r="J306" s="5">
        <f t="shared" si="114"/>
        <v>0</v>
      </c>
      <c r="K306" s="5">
        <f t="shared" si="115"/>
        <v>1.9679192306399997</v>
      </c>
      <c r="L306" s="27">
        <f t="shared" si="116"/>
        <v>1.9679192306399997</v>
      </c>
      <c r="M306" s="61">
        <f t="shared" si="117"/>
        <v>1415.721094522416</v>
      </c>
      <c r="N306" s="34">
        <f t="shared" si="118"/>
        <v>2739.417094522416</v>
      </c>
      <c r="O306" s="34"/>
      <c r="P306" s="34"/>
      <c r="Q306" s="5">
        <f t="shared" si="119"/>
        <v>2739.417094522416</v>
      </c>
      <c r="R306" s="30">
        <f t="shared" si="106"/>
        <v>2739.417094522416</v>
      </c>
      <c r="S306" s="1">
        <v>220.62</v>
      </c>
      <c r="T306" s="1">
        <v>220.62</v>
      </c>
      <c r="U306" s="1">
        <v>220.62</v>
      </c>
      <c r="V306" s="1">
        <v>220.62</v>
      </c>
      <c r="W306" s="1">
        <v>220.62</v>
      </c>
      <c r="X306" s="1">
        <v>220.62</v>
      </c>
      <c r="Y306" s="1">
        <v>236.2</v>
      </c>
      <c r="Z306" s="1">
        <v>236.2</v>
      </c>
      <c r="AA306" s="1">
        <v>236.2</v>
      </c>
      <c r="AB306" s="1">
        <v>91.43</v>
      </c>
      <c r="AC306" s="165">
        <f t="shared" si="120"/>
        <v>2123.75</v>
      </c>
      <c r="AD306" s="1">
        <v>0</v>
      </c>
      <c r="AE306" s="1">
        <v>144.77</v>
      </c>
      <c r="AF306" s="1">
        <v>0</v>
      </c>
      <c r="AG306" s="1">
        <v>236.2</v>
      </c>
      <c r="AH306" s="1">
        <v>0</v>
      </c>
      <c r="AI306" s="1">
        <v>236.2</v>
      </c>
      <c r="AJ306" s="6">
        <f t="shared" si="121"/>
        <v>2740.9199999999996</v>
      </c>
      <c r="AK306" s="1"/>
      <c r="AL306" s="1"/>
      <c r="AM306" s="1"/>
      <c r="AN306" s="1"/>
      <c r="AO306" s="6">
        <f t="shared" si="122"/>
        <v>2740.9199999999996</v>
      </c>
      <c r="AP306" s="136">
        <f t="shared" si="123"/>
        <v>-1.5029054775836812</v>
      </c>
      <c r="AQ306" s="110"/>
      <c r="AR306" s="110"/>
      <c r="AS306" s="111"/>
      <c r="AT306" s="111">
        <f t="shared" si="124"/>
        <v>-1.5029054775836812</v>
      </c>
      <c r="AU306" s="121"/>
      <c r="AV306" s="111"/>
      <c r="AW306" s="111"/>
      <c r="AX306" s="111"/>
      <c r="AY306" s="116"/>
      <c r="AZ306" s="172">
        <f t="shared" si="95"/>
        <v>0</v>
      </c>
      <c r="BA306" s="130">
        <v>38758.06</v>
      </c>
    </row>
    <row r="307" spans="1:53" ht="12.75">
      <c r="A307" s="1">
        <v>24</v>
      </c>
      <c r="B307" s="84" t="s">
        <v>37</v>
      </c>
      <c r="C307" s="6">
        <v>106.3</v>
      </c>
      <c r="D307" s="6">
        <v>0</v>
      </c>
      <c r="E307" s="25">
        <f t="shared" si="111"/>
        <v>106.3</v>
      </c>
      <c r="F307" s="5">
        <v>0</v>
      </c>
      <c r="G307" s="5">
        <v>1.84</v>
      </c>
      <c r="H307" s="5">
        <f t="shared" si="112"/>
        <v>1.84</v>
      </c>
      <c r="I307" s="28">
        <f t="shared" si="113"/>
        <v>1173.5520000000001</v>
      </c>
      <c r="J307" s="5">
        <f t="shared" si="114"/>
        <v>0</v>
      </c>
      <c r="K307" s="5">
        <f t="shared" si="115"/>
        <v>1.9679192306399997</v>
      </c>
      <c r="L307" s="27">
        <f t="shared" si="116"/>
        <v>1.9679192306399997</v>
      </c>
      <c r="M307" s="61">
        <f t="shared" si="117"/>
        <v>1255.1388853021917</v>
      </c>
      <c r="N307" s="34">
        <f t="shared" si="118"/>
        <v>2428.690885302192</v>
      </c>
      <c r="O307" s="34"/>
      <c r="P307" s="34"/>
      <c r="Q307" s="5">
        <f t="shared" si="119"/>
        <v>2428.690885302192</v>
      </c>
      <c r="R307" s="30">
        <f t="shared" si="106"/>
        <v>2428.690885302192</v>
      </c>
      <c r="S307" s="1">
        <v>195.59</v>
      </c>
      <c r="T307" s="1">
        <v>195.59</v>
      </c>
      <c r="U307" s="1">
        <v>195.59</v>
      </c>
      <c r="V307" s="1">
        <v>195.59</v>
      </c>
      <c r="W307" s="1">
        <v>195.59</v>
      </c>
      <c r="X307" s="1">
        <v>195.59</v>
      </c>
      <c r="Y307" s="1">
        <v>209.41</v>
      </c>
      <c r="Z307" s="1">
        <v>209.41</v>
      </c>
      <c r="AA307" s="1">
        <v>209.41</v>
      </c>
      <c r="AB307" s="1">
        <v>81.06</v>
      </c>
      <c r="AC307" s="165">
        <f t="shared" si="120"/>
        <v>1882.8300000000002</v>
      </c>
      <c r="AD307" s="1">
        <v>0</v>
      </c>
      <c r="AE307" s="1">
        <v>128.35</v>
      </c>
      <c r="AF307" s="1">
        <v>0</v>
      </c>
      <c r="AG307" s="1">
        <v>209.41</v>
      </c>
      <c r="AH307" s="1">
        <v>0</v>
      </c>
      <c r="AI307" s="1">
        <v>209.41</v>
      </c>
      <c r="AJ307" s="6">
        <f t="shared" si="121"/>
        <v>2430</v>
      </c>
      <c r="AK307" s="1"/>
      <c r="AL307" s="1"/>
      <c r="AM307" s="1"/>
      <c r="AN307" s="1"/>
      <c r="AO307" s="6">
        <f t="shared" si="122"/>
        <v>2430</v>
      </c>
      <c r="AP307" s="136">
        <f t="shared" si="123"/>
        <v>-1.309114697808127</v>
      </c>
      <c r="AQ307" s="110"/>
      <c r="AR307" s="110"/>
      <c r="AS307" s="111"/>
      <c r="AT307" s="111">
        <f t="shared" si="124"/>
        <v>-1.309114697808127</v>
      </c>
      <c r="AU307" s="121"/>
      <c r="AV307" s="111"/>
      <c r="AW307" s="111"/>
      <c r="AX307" s="111"/>
      <c r="AY307" s="116"/>
      <c r="AZ307" s="172">
        <f t="shared" si="95"/>
        <v>0</v>
      </c>
      <c r="BA307" s="130">
        <v>41254.82</v>
      </c>
    </row>
    <row r="308" spans="1:53" ht="12.75">
      <c r="A308" s="1">
        <v>25</v>
      </c>
      <c r="B308" s="84" t="s">
        <v>38</v>
      </c>
      <c r="C308" s="6">
        <v>159.9</v>
      </c>
      <c r="D308" s="6">
        <v>0</v>
      </c>
      <c r="E308" s="25">
        <f t="shared" si="111"/>
        <v>159.9</v>
      </c>
      <c r="F308" s="5">
        <v>0</v>
      </c>
      <c r="G308" s="5">
        <v>1.84</v>
      </c>
      <c r="H308" s="5">
        <f t="shared" si="112"/>
        <v>1.84</v>
      </c>
      <c r="I308" s="28">
        <f t="shared" si="113"/>
        <v>1765.296</v>
      </c>
      <c r="J308" s="5">
        <f t="shared" si="114"/>
        <v>0</v>
      </c>
      <c r="K308" s="5">
        <f t="shared" si="115"/>
        <v>1.9679192306399997</v>
      </c>
      <c r="L308" s="27">
        <f t="shared" si="116"/>
        <v>1.9679192306399997</v>
      </c>
      <c r="M308" s="61">
        <f t="shared" si="117"/>
        <v>1888.0217098760158</v>
      </c>
      <c r="N308" s="34">
        <f t="shared" si="118"/>
        <v>3653.317709876016</v>
      </c>
      <c r="O308" s="34"/>
      <c r="P308" s="34"/>
      <c r="Q308" s="5">
        <f t="shared" si="119"/>
        <v>3653.317709876016</v>
      </c>
      <c r="R308" s="30">
        <f t="shared" si="106"/>
        <v>3653.317709876016</v>
      </c>
      <c r="S308" s="1">
        <v>294.22</v>
      </c>
      <c r="T308" s="1">
        <v>294.22</v>
      </c>
      <c r="U308" s="1">
        <v>294.22</v>
      </c>
      <c r="V308" s="1">
        <v>294.22</v>
      </c>
      <c r="W308" s="1">
        <v>294.22</v>
      </c>
      <c r="X308" s="1">
        <v>294.22</v>
      </c>
      <c r="Y308" s="1">
        <v>315</v>
      </c>
      <c r="Z308" s="1">
        <v>315</v>
      </c>
      <c r="AA308" s="1">
        <v>315</v>
      </c>
      <c r="AB308" s="1">
        <v>121.94</v>
      </c>
      <c r="AC308" s="165">
        <f t="shared" si="120"/>
        <v>2832.26</v>
      </c>
      <c r="AD308" s="1">
        <v>0</v>
      </c>
      <c r="AE308" s="1">
        <v>193.07</v>
      </c>
      <c r="AF308" s="1">
        <v>0</v>
      </c>
      <c r="AG308" s="1">
        <v>315</v>
      </c>
      <c r="AH308" s="1">
        <v>0</v>
      </c>
      <c r="AI308" s="1">
        <v>315</v>
      </c>
      <c r="AJ308" s="6">
        <f t="shared" si="121"/>
        <v>3655.3300000000004</v>
      </c>
      <c r="AK308" s="1"/>
      <c r="AL308" s="1"/>
      <c r="AM308" s="1"/>
      <c r="AN308" s="1"/>
      <c r="AO308" s="6">
        <f t="shared" si="122"/>
        <v>3655.3300000000004</v>
      </c>
      <c r="AP308" s="136">
        <f t="shared" si="123"/>
        <v>-2.0122901239842577</v>
      </c>
      <c r="AQ308" s="110"/>
      <c r="AR308" s="110"/>
      <c r="AS308" s="111"/>
      <c r="AT308" s="111">
        <f t="shared" si="124"/>
        <v>-2.0122901239842577</v>
      </c>
      <c r="AU308" s="121"/>
      <c r="AV308" s="111"/>
      <c r="AW308" s="111"/>
      <c r="AX308" s="111"/>
      <c r="AY308" s="116"/>
      <c r="AZ308" s="172">
        <f t="shared" si="95"/>
        <v>0</v>
      </c>
      <c r="BA308" s="130">
        <v>71505.92</v>
      </c>
    </row>
    <row r="309" spans="1:53" ht="12.75">
      <c r="A309" s="1">
        <v>26</v>
      </c>
      <c r="B309" s="84" t="s">
        <v>39</v>
      </c>
      <c r="C309" s="6">
        <v>313.2</v>
      </c>
      <c r="D309" s="6">
        <v>0</v>
      </c>
      <c r="E309" s="25">
        <f t="shared" si="111"/>
        <v>313.2</v>
      </c>
      <c r="F309" s="5">
        <v>0</v>
      </c>
      <c r="G309" s="5">
        <v>1.84</v>
      </c>
      <c r="H309" s="5">
        <f t="shared" si="112"/>
        <v>1.84</v>
      </c>
      <c r="I309" s="28">
        <f t="shared" si="113"/>
        <v>3457.728</v>
      </c>
      <c r="J309" s="5">
        <f t="shared" si="114"/>
        <v>0</v>
      </c>
      <c r="K309" s="5">
        <f t="shared" si="115"/>
        <v>1.9679192306399997</v>
      </c>
      <c r="L309" s="27">
        <f t="shared" si="116"/>
        <v>1.9679192306399997</v>
      </c>
      <c r="M309" s="61">
        <f t="shared" si="117"/>
        <v>3698.1138182186874</v>
      </c>
      <c r="N309" s="34">
        <f t="shared" si="118"/>
        <v>7155.841818218687</v>
      </c>
      <c r="O309" s="34"/>
      <c r="P309" s="34"/>
      <c r="Q309" s="5">
        <f t="shared" si="119"/>
        <v>7155.841818218687</v>
      </c>
      <c r="R309" s="30">
        <f t="shared" si="106"/>
        <v>7155.841818218687</v>
      </c>
      <c r="S309" s="1">
        <v>576.29</v>
      </c>
      <c r="T309" s="1">
        <v>576.29</v>
      </c>
      <c r="U309" s="1">
        <v>576.29</v>
      </c>
      <c r="V309" s="1">
        <v>576.29</v>
      </c>
      <c r="W309" s="1">
        <v>576.29</v>
      </c>
      <c r="X309" s="1">
        <v>576.29</v>
      </c>
      <c r="Y309" s="1">
        <v>617</v>
      </c>
      <c r="Z309" s="1">
        <v>617</v>
      </c>
      <c r="AA309" s="1">
        <v>617</v>
      </c>
      <c r="AB309" s="1">
        <v>238.84</v>
      </c>
      <c r="AC309" s="165">
        <f t="shared" si="120"/>
        <v>5547.58</v>
      </c>
      <c r="AD309" s="1">
        <v>0</v>
      </c>
      <c r="AE309" s="1">
        <v>378.16</v>
      </c>
      <c r="AF309" s="1">
        <v>0</v>
      </c>
      <c r="AG309" s="1">
        <v>617</v>
      </c>
      <c r="AH309" s="1">
        <v>0</v>
      </c>
      <c r="AI309" s="1">
        <v>617</v>
      </c>
      <c r="AJ309" s="6">
        <f t="shared" si="121"/>
        <v>7159.74</v>
      </c>
      <c r="AK309" s="1"/>
      <c r="AL309" s="1"/>
      <c r="AM309" s="1"/>
      <c r="AN309" s="1"/>
      <c r="AO309" s="6">
        <f t="shared" si="122"/>
        <v>7159.74</v>
      </c>
      <c r="AP309" s="136">
        <f t="shared" si="123"/>
        <v>-3.8981817813128146</v>
      </c>
      <c r="AQ309" s="110"/>
      <c r="AR309" s="110"/>
      <c r="AS309" s="111"/>
      <c r="AT309" s="111">
        <f t="shared" si="124"/>
        <v>-3.8981817813128146</v>
      </c>
      <c r="AU309" s="121"/>
      <c r="AV309" s="111"/>
      <c r="AW309" s="111"/>
      <c r="AX309" s="111"/>
      <c r="AY309" s="116"/>
      <c r="AZ309" s="172">
        <f t="shared" si="95"/>
        <v>0</v>
      </c>
      <c r="BA309" s="130">
        <v>177719.02</v>
      </c>
    </row>
    <row r="310" spans="1:53" ht="12.75">
      <c r="A310" s="1">
        <v>27</v>
      </c>
      <c r="B310" s="10" t="s">
        <v>308</v>
      </c>
      <c r="C310" s="1">
        <v>482.8</v>
      </c>
      <c r="D310" s="1">
        <v>0</v>
      </c>
      <c r="E310" s="7">
        <f t="shared" si="111"/>
        <v>482.8</v>
      </c>
      <c r="F310" s="5">
        <v>0</v>
      </c>
      <c r="G310" s="5">
        <v>2.8</v>
      </c>
      <c r="H310" s="5">
        <f t="shared" si="112"/>
        <v>2.8</v>
      </c>
      <c r="I310" s="28">
        <f t="shared" si="113"/>
        <v>8111.039999999999</v>
      </c>
      <c r="J310" s="5">
        <f t="shared" si="114"/>
        <v>0</v>
      </c>
      <c r="K310" s="5">
        <f t="shared" si="115"/>
        <v>2.994659698799999</v>
      </c>
      <c r="L310" s="27">
        <f t="shared" si="116"/>
        <v>2.994659698799999</v>
      </c>
      <c r="M310" s="61">
        <f t="shared" si="117"/>
        <v>8674.930215483837</v>
      </c>
      <c r="N310" s="34">
        <f t="shared" si="118"/>
        <v>16785.970215483838</v>
      </c>
      <c r="O310" s="34"/>
      <c r="P310" s="34"/>
      <c r="Q310" s="5">
        <f t="shared" si="119"/>
        <v>16785.970215483838</v>
      </c>
      <c r="R310" s="30">
        <f t="shared" si="106"/>
        <v>16785.970215483838</v>
      </c>
      <c r="S310" s="1">
        <v>887.25</v>
      </c>
      <c r="T310" s="1">
        <v>887.25</v>
      </c>
      <c r="U310" s="1">
        <v>887.25</v>
      </c>
      <c r="V310" s="1">
        <v>887.25</v>
      </c>
      <c r="W310" s="1">
        <v>887.25</v>
      </c>
      <c r="X310" s="1">
        <v>887.25</v>
      </c>
      <c r="Y310" s="1">
        <v>949.93</v>
      </c>
      <c r="Z310" s="1">
        <v>949.93</v>
      </c>
      <c r="AA310" s="1">
        <v>949.93</v>
      </c>
      <c r="AB310" s="1">
        <v>367.72</v>
      </c>
      <c r="AC310" s="165">
        <f t="shared" si="120"/>
        <v>8541.01</v>
      </c>
      <c r="AD310" s="1">
        <v>0</v>
      </c>
      <c r="AE310" s="1">
        <v>582.22</v>
      </c>
      <c r="AF310" s="1"/>
      <c r="AG310" s="1">
        <v>1508.17</v>
      </c>
      <c r="AH310" s="1">
        <v>0</v>
      </c>
      <c r="AI310" s="1">
        <v>949.93</v>
      </c>
      <c r="AJ310" s="6">
        <f t="shared" si="121"/>
        <v>11581.33</v>
      </c>
      <c r="AK310" s="1"/>
      <c r="AL310" s="1"/>
      <c r="AM310" s="1"/>
      <c r="AN310" s="1"/>
      <c r="AO310" s="6">
        <f t="shared" si="122"/>
        <v>11581.33</v>
      </c>
      <c r="AP310" s="91">
        <f t="shared" si="123"/>
        <v>5204.640215483838</v>
      </c>
      <c r="AQ310" s="10"/>
      <c r="AR310" s="10"/>
      <c r="AS310" s="34"/>
      <c r="AT310" s="116">
        <f t="shared" si="124"/>
        <v>5204.640215483838</v>
      </c>
      <c r="AU310" s="134"/>
      <c r="AV310" s="116"/>
      <c r="AW310" s="116"/>
      <c r="AX310" s="116">
        <f>AT310+AU310-AV310</f>
        <v>5204.640215483838</v>
      </c>
      <c r="AY310" s="134"/>
      <c r="AZ310" s="172">
        <f t="shared" si="95"/>
        <v>5204.640215483838</v>
      </c>
      <c r="BA310" s="127">
        <v>53993.53</v>
      </c>
    </row>
    <row r="311" spans="1:53" ht="12.75">
      <c r="A311" s="1">
        <v>28</v>
      </c>
      <c r="B311" s="10" t="s">
        <v>309</v>
      </c>
      <c r="C311" s="1">
        <v>476</v>
      </c>
      <c r="D311" s="1">
        <v>0</v>
      </c>
      <c r="E311" s="7">
        <f t="shared" si="111"/>
        <v>476</v>
      </c>
      <c r="F311" s="5">
        <v>0</v>
      </c>
      <c r="G311" s="5">
        <v>2.8</v>
      </c>
      <c r="H311" s="5">
        <f t="shared" si="112"/>
        <v>2.8</v>
      </c>
      <c r="I311" s="28">
        <f t="shared" si="113"/>
        <v>7996.799999999999</v>
      </c>
      <c r="J311" s="5">
        <f t="shared" si="114"/>
        <v>0</v>
      </c>
      <c r="K311" s="5">
        <f t="shared" si="115"/>
        <v>2.994659698799999</v>
      </c>
      <c r="L311" s="27">
        <f t="shared" si="116"/>
        <v>2.994659698799999</v>
      </c>
      <c r="M311" s="61">
        <f t="shared" si="117"/>
        <v>8552.748099772798</v>
      </c>
      <c r="N311" s="34">
        <f t="shared" si="118"/>
        <v>16549.548099772797</v>
      </c>
      <c r="O311" s="34"/>
      <c r="P311" s="34"/>
      <c r="Q311" s="5">
        <f t="shared" si="119"/>
        <v>16549.548099772797</v>
      </c>
      <c r="R311" s="30">
        <f t="shared" si="106"/>
        <v>16549.548099772797</v>
      </c>
      <c r="S311" s="1">
        <v>873.45</v>
      </c>
      <c r="T311" s="1">
        <v>873.45</v>
      </c>
      <c r="U311" s="1">
        <v>873.45</v>
      </c>
      <c r="V311" s="1">
        <v>873.45</v>
      </c>
      <c r="W311" s="1">
        <v>873.45</v>
      </c>
      <c r="X311" s="1">
        <v>873.45</v>
      </c>
      <c r="Y311" s="1">
        <v>935.16</v>
      </c>
      <c r="Z311" s="1">
        <v>935.16</v>
      </c>
      <c r="AA311" s="1">
        <v>935.16</v>
      </c>
      <c r="AB311" s="1">
        <v>362</v>
      </c>
      <c r="AC311" s="165">
        <f t="shared" si="120"/>
        <v>8408.18</v>
      </c>
      <c r="AD311" s="1">
        <v>0</v>
      </c>
      <c r="AE311" s="1">
        <v>573.16</v>
      </c>
      <c r="AF311" s="1"/>
      <c r="AG311" s="1">
        <v>1493.4</v>
      </c>
      <c r="AH311" s="1">
        <v>0</v>
      </c>
      <c r="AI311" s="1">
        <v>1689.2</v>
      </c>
      <c r="AJ311" s="6">
        <f t="shared" si="121"/>
        <v>12163.94</v>
      </c>
      <c r="AK311" s="1"/>
      <c r="AL311" s="1"/>
      <c r="AM311" s="1"/>
      <c r="AN311" s="1"/>
      <c r="AO311" s="6">
        <f t="shared" si="122"/>
        <v>12163.94</v>
      </c>
      <c r="AP311" s="91">
        <f t="shared" si="123"/>
        <v>4385.608099772797</v>
      </c>
      <c r="AQ311" s="10"/>
      <c r="AR311" s="10"/>
      <c r="AS311" s="34"/>
      <c r="AT311" s="116">
        <f t="shared" si="124"/>
        <v>4385.608099772797</v>
      </c>
      <c r="AU311" s="134"/>
      <c r="AV311" s="116">
        <f>809.6+809.6</f>
        <v>1619.2</v>
      </c>
      <c r="AW311" s="116"/>
      <c r="AX311" s="116">
        <f>AT311+AU311-AV311</f>
        <v>2766.408099772797</v>
      </c>
      <c r="AY311" s="134"/>
      <c r="AZ311" s="172">
        <f t="shared" si="95"/>
        <v>2766.408099772797</v>
      </c>
      <c r="BA311" s="127">
        <v>31619.39</v>
      </c>
    </row>
    <row r="312" spans="1:53" ht="12.75">
      <c r="A312" s="1">
        <v>29</v>
      </c>
      <c r="B312" s="84" t="s">
        <v>310</v>
      </c>
      <c r="C312" s="1">
        <v>370.3</v>
      </c>
      <c r="D312" s="1">
        <v>0</v>
      </c>
      <c r="E312" s="7">
        <f t="shared" si="111"/>
        <v>370.3</v>
      </c>
      <c r="F312" s="5">
        <v>0</v>
      </c>
      <c r="G312" s="5">
        <v>2.8</v>
      </c>
      <c r="H312" s="5">
        <f t="shared" si="112"/>
        <v>2.8</v>
      </c>
      <c r="I312" s="28">
        <f t="shared" si="113"/>
        <v>6221.039999999999</v>
      </c>
      <c r="J312" s="5">
        <f t="shared" si="114"/>
        <v>0</v>
      </c>
      <c r="K312" s="5">
        <f t="shared" si="115"/>
        <v>2.994659698799999</v>
      </c>
      <c r="L312" s="27">
        <f t="shared" si="116"/>
        <v>2.994659698799999</v>
      </c>
      <c r="M312" s="61">
        <f t="shared" si="117"/>
        <v>6653.534918793837</v>
      </c>
      <c r="N312" s="34">
        <f t="shared" si="118"/>
        <v>12874.574918793836</v>
      </c>
      <c r="O312" s="34"/>
      <c r="P312" s="34"/>
      <c r="Q312" s="5">
        <f t="shared" si="119"/>
        <v>12874.574918793836</v>
      </c>
      <c r="R312" s="30">
        <f t="shared" si="106"/>
        <v>12874.574918793836</v>
      </c>
      <c r="S312" s="1">
        <v>846.92</v>
      </c>
      <c r="T312" s="1">
        <v>846.92</v>
      </c>
      <c r="U312" s="1">
        <v>846.92</v>
      </c>
      <c r="V312" s="1">
        <v>846.92</v>
      </c>
      <c r="W312" s="1">
        <v>846.92</v>
      </c>
      <c r="X312" s="1">
        <v>846.92</v>
      </c>
      <c r="Y312" s="1">
        <v>726.93</v>
      </c>
      <c r="Z312" s="1">
        <v>726.93</v>
      </c>
      <c r="AA312" s="1">
        <v>726.93</v>
      </c>
      <c r="AB312" s="1">
        <v>281.39</v>
      </c>
      <c r="AC312" s="165">
        <f t="shared" si="120"/>
        <v>7543.700000000001</v>
      </c>
      <c r="AD312" s="1">
        <v>0</v>
      </c>
      <c r="AE312" s="1">
        <v>445.54</v>
      </c>
      <c r="AF312" s="1">
        <v>0</v>
      </c>
      <c r="AG312" s="1">
        <v>726.93</v>
      </c>
      <c r="AH312" s="1">
        <v>715.5</v>
      </c>
      <c r="AI312" s="1">
        <v>726.93</v>
      </c>
      <c r="AJ312" s="6">
        <f t="shared" si="121"/>
        <v>10158.6</v>
      </c>
      <c r="AK312" s="1"/>
      <c r="AL312" s="1"/>
      <c r="AM312" s="1"/>
      <c r="AN312" s="1"/>
      <c r="AO312" s="6">
        <f t="shared" si="122"/>
        <v>10158.6</v>
      </c>
      <c r="AP312" s="91">
        <f t="shared" si="123"/>
        <v>2715.974918793836</v>
      </c>
      <c r="AQ312" s="10"/>
      <c r="AR312" s="10"/>
      <c r="AS312" s="34"/>
      <c r="AT312" s="116">
        <f t="shared" si="124"/>
        <v>2715.974918793836</v>
      </c>
      <c r="AU312" s="116"/>
      <c r="AV312" s="116"/>
      <c r="AW312" s="116"/>
      <c r="AX312" s="116">
        <f>AT312+AU312-AV312</f>
        <v>2715.974918793836</v>
      </c>
      <c r="AY312" s="116"/>
      <c r="AZ312" s="172">
        <f t="shared" si="95"/>
        <v>2715.974918793836</v>
      </c>
      <c r="BA312" s="130">
        <v>34189.3</v>
      </c>
    </row>
    <row r="313" spans="1:53" ht="12.75">
      <c r="A313" s="1">
        <v>30</v>
      </c>
      <c r="B313" s="84" t="s">
        <v>311</v>
      </c>
      <c r="C313" s="1">
        <v>574.7</v>
      </c>
      <c r="D313" s="1">
        <v>0</v>
      </c>
      <c r="E313" s="7">
        <f t="shared" si="111"/>
        <v>574.7</v>
      </c>
      <c r="F313" s="5">
        <v>0</v>
      </c>
      <c r="G313" s="5">
        <v>2.8</v>
      </c>
      <c r="H313" s="5">
        <f t="shared" si="112"/>
        <v>2.8</v>
      </c>
      <c r="I313" s="28">
        <f t="shared" si="113"/>
        <v>9654.960000000001</v>
      </c>
      <c r="J313" s="5">
        <f t="shared" si="114"/>
        <v>0</v>
      </c>
      <c r="K313" s="5">
        <f t="shared" si="115"/>
        <v>2.994659698799999</v>
      </c>
      <c r="L313" s="27">
        <f t="shared" si="116"/>
        <v>2.994659698799999</v>
      </c>
      <c r="M313" s="61">
        <f t="shared" si="117"/>
        <v>10326.185573402157</v>
      </c>
      <c r="N313" s="34">
        <f t="shared" si="118"/>
        <v>19981.14557340216</v>
      </c>
      <c r="O313" s="34"/>
      <c r="P313" s="34"/>
      <c r="Q313" s="5">
        <f t="shared" si="119"/>
        <v>19981.14557340216</v>
      </c>
      <c r="R313" s="30">
        <f t="shared" si="106"/>
        <v>19981.14557340216</v>
      </c>
      <c r="S313" s="1">
        <v>1225.41</v>
      </c>
      <c r="T313" s="1">
        <v>1225.41</v>
      </c>
      <c r="U313" s="1">
        <v>1225.41</v>
      </c>
      <c r="V313" s="1">
        <v>1225.41</v>
      </c>
      <c r="W313" s="1">
        <v>1225.41</v>
      </c>
      <c r="X313" s="1">
        <v>1225.41</v>
      </c>
      <c r="Y313" s="1">
        <v>1132.16</v>
      </c>
      <c r="Z313" s="1">
        <v>1132.16</v>
      </c>
      <c r="AA313" s="1">
        <v>1132.16</v>
      </c>
      <c r="AB313" s="1">
        <v>438.26</v>
      </c>
      <c r="AC313" s="165">
        <f t="shared" si="120"/>
        <v>11187.2</v>
      </c>
      <c r="AD313" s="1">
        <v>0</v>
      </c>
      <c r="AE313" s="1">
        <v>693.9</v>
      </c>
      <c r="AF313" s="1">
        <v>637.04</v>
      </c>
      <c r="AG313" s="1">
        <v>1132.16</v>
      </c>
      <c r="AH313" s="1">
        <v>715.5</v>
      </c>
      <c r="AI313" s="1">
        <v>1132.16</v>
      </c>
      <c r="AJ313" s="6">
        <f t="shared" si="121"/>
        <v>15497.96</v>
      </c>
      <c r="AK313" s="1"/>
      <c r="AL313" s="1"/>
      <c r="AM313" s="1"/>
      <c r="AN313" s="1"/>
      <c r="AO313" s="6">
        <f t="shared" si="122"/>
        <v>15497.96</v>
      </c>
      <c r="AP313" s="91">
        <f t="shared" si="123"/>
        <v>4483.185573402159</v>
      </c>
      <c r="AQ313" s="10"/>
      <c r="AR313" s="10"/>
      <c r="AS313" s="34"/>
      <c r="AT313" s="116">
        <f t="shared" si="124"/>
        <v>4483.185573402159</v>
      </c>
      <c r="AU313" s="116"/>
      <c r="AV313" s="116"/>
      <c r="AW313" s="116"/>
      <c r="AX313" s="116">
        <f>AT313+AU313-AV313</f>
        <v>4483.185573402159</v>
      </c>
      <c r="AY313" s="116"/>
      <c r="AZ313" s="172">
        <f t="shared" si="95"/>
        <v>4483.185573402159</v>
      </c>
      <c r="BA313" s="130">
        <v>101930.72</v>
      </c>
    </row>
    <row r="314" spans="1:53" ht="12.75">
      <c r="A314" s="1">
        <v>31</v>
      </c>
      <c r="B314" s="84" t="s">
        <v>57</v>
      </c>
      <c r="C314" s="6">
        <v>516.5</v>
      </c>
      <c r="D314" s="6">
        <v>0</v>
      </c>
      <c r="E314" s="25">
        <f t="shared" si="111"/>
        <v>516.5</v>
      </c>
      <c r="F314" s="5">
        <v>0</v>
      </c>
      <c r="G314" s="5">
        <v>1.84</v>
      </c>
      <c r="H314" s="5">
        <f t="shared" si="112"/>
        <v>1.84</v>
      </c>
      <c r="I314" s="28">
        <f t="shared" si="113"/>
        <v>5702.16</v>
      </c>
      <c r="J314" s="5">
        <f t="shared" si="114"/>
        <v>0</v>
      </c>
      <c r="K314" s="5">
        <f t="shared" si="115"/>
        <v>1.9679192306399997</v>
      </c>
      <c r="L314" s="27">
        <f t="shared" si="116"/>
        <v>1.9679192306399997</v>
      </c>
      <c r="M314" s="61">
        <f t="shared" si="117"/>
        <v>6098.581695753359</v>
      </c>
      <c r="N314" s="34">
        <f t="shared" si="118"/>
        <v>11800.741695753359</v>
      </c>
      <c r="O314" s="34"/>
      <c r="P314" s="34"/>
      <c r="Q314" s="5">
        <f t="shared" si="119"/>
        <v>11800.741695753359</v>
      </c>
      <c r="R314" s="30">
        <f t="shared" si="106"/>
        <v>11800.741695753359</v>
      </c>
      <c r="S314" s="1">
        <v>950.36</v>
      </c>
      <c r="T314" s="1">
        <v>950.36</v>
      </c>
      <c r="U314" s="1">
        <v>950.36</v>
      </c>
      <c r="V314" s="1">
        <v>950.36</v>
      </c>
      <c r="W314" s="1">
        <v>950.36</v>
      </c>
      <c r="X314" s="1">
        <v>950.36</v>
      </c>
      <c r="Y314" s="1">
        <v>1017.51</v>
      </c>
      <c r="Z314" s="1">
        <v>1017.51</v>
      </c>
      <c r="AA314" s="1">
        <v>1017.51</v>
      </c>
      <c r="AB314" s="1">
        <v>393.87</v>
      </c>
      <c r="AC314" s="165">
        <f t="shared" si="120"/>
        <v>9148.560000000001</v>
      </c>
      <c r="AD314" s="1">
        <v>0</v>
      </c>
      <c r="AE314" s="1">
        <v>623.63</v>
      </c>
      <c r="AF314" s="1">
        <v>0</v>
      </c>
      <c r="AG314" s="1">
        <v>1017.51</v>
      </c>
      <c r="AH314" s="1">
        <v>0</v>
      </c>
      <c r="AI314" s="1">
        <v>1017.51</v>
      </c>
      <c r="AJ314" s="6">
        <f t="shared" si="121"/>
        <v>11807.210000000001</v>
      </c>
      <c r="AK314" s="1"/>
      <c r="AL314" s="1"/>
      <c r="AM314" s="1"/>
      <c r="AN314" s="1"/>
      <c r="AO314" s="6">
        <f t="shared" si="122"/>
        <v>11807.210000000001</v>
      </c>
      <c r="AP314" s="136">
        <f t="shared" si="123"/>
        <v>-6.468304246642219</v>
      </c>
      <c r="AQ314" s="110"/>
      <c r="AR314" s="110"/>
      <c r="AS314" s="111"/>
      <c r="AT314" s="111">
        <f t="shared" si="124"/>
        <v>-6.468304246642219</v>
      </c>
      <c r="AU314" s="121"/>
      <c r="AV314" s="111"/>
      <c r="AW314" s="111"/>
      <c r="AX314" s="111"/>
      <c r="AY314" s="116"/>
      <c r="AZ314" s="172">
        <f t="shared" si="95"/>
        <v>0</v>
      </c>
      <c r="BA314" s="130">
        <v>72909.5</v>
      </c>
    </row>
    <row r="315" spans="1:53" ht="12.75">
      <c r="A315" s="1">
        <v>32</v>
      </c>
      <c r="B315" s="84" t="s">
        <v>58</v>
      </c>
      <c r="C315" s="6">
        <v>504.5</v>
      </c>
      <c r="D315" s="6">
        <v>0</v>
      </c>
      <c r="E315" s="25">
        <f t="shared" si="111"/>
        <v>504.5</v>
      </c>
      <c r="F315" s="5">
        <v>0</v>
      </c>
      <c r="G315" s="5">
        <v>1.84</v>
      </c>
      <c r="H315" s="5">
        <f t="shared" si="112"/>
        <v>1.84</v>
      </c>
      <c r="I315" s="28">
        <f t="shared" si="113"/>
        <v>5569.68</v>
      </c>
      <c r="J315" s="5">
        <f t="shared" si="114"/>
        <v>0</v>
      </c>
      <c r="K315" s="5">
        <f t="shared" si="115"/>
        <v>1.9679192306399997</v>
      </c>
      <c r="L315" s="27">
        <f t="shared" si="116"/>
        <v>1.9679192306399997</v>
      </c>
      <c r="M315" s="61">
        <f t="shared" si="117"/>
        <v>5956.891511147279</v>
      </c>
      <c r="N315" s="34">
        <f t="shared" si="118"/>
        <v>11526.571511147278</v>
      </c>
      <c r="O315" s="34"/>
      <c r="P315" s="34"/>
      <c r="Q315" s="5">
        <f t="shared" si="119"/>
        <v>11526.571511147278</v>
      </c>
      <c r="R315" s="30">
        <f t="shared" si="106"/>
        <v>11526.571511147278</v>
      </c>
      <c r="S315" s="1">
        <v>927.91</v>
      </c>
      <c r="T315" s="1">
        <v>927.91</v>
      </c>
      <c r="U315" s="1">
        <v>927.91</v>
      </c>
      <c r="V315" s="1">
        <v>927.91</v>
      </c>
      <c r="W315" s="1">
        <v>927.91</v>
      </c>
      <c r="X315" s="1">
        <v>927.91</v>
      </c>
      <c r="Y315" s="1">
        <v>993.47</v>
      </c>
      <c r="Z315" s="1">
        <v>993.47</v>
      </c>
      <c r="AA315" s="1">
        <v>993.47</v>
      </c>
      <c r="AB315" s="1">
        <v>384.57</v>
      </c>
      <c r="AC315" s="165">
        <f t="shared" si="120"/>
        <v>8932.44</v>
      </c>
      <c r="AD315" s="1">
        <v>0</v>
      </c>
      <c r="AE315" s="1">
        <v>608.9</v>
      </c>
      <c r="AF315" s="1">
        <v>0</v>
      </c>
      <c r="AG315" s="1">
        <v>993.47</v>
      </c>
      <c r="AH315" s="1">
        <v>0</v>
      </c>
      <c r="AI315" s="1">
        <v>993.47</v>
      </c>
      <c r="AJ315" s="6">
        <f t="shared" si="121"/>
        <v>11528.279999999999</v>
      </c>
      <c r="AK315" s="1"/>
      <c r="AL315" s="1"/>
      <c r="AM315" s="1"/>
      <c r="AN315" s="1"/>
      <c r="AO315" s="6">
        <f t="shared" si="122"/>
        <v>11528.279999999999</v>
      </c>
      <c r="AP315" s="136">
        <f t="shared" si="123"/>
        <v>-1.7084888527206203</v>
      </c>
      <c r="AQ315" s="110"/>
      <c r="AR315" s="110"/>
      <c r="AS315" s="111"/>
      <c r="AT315" s="111">
        <f t="shared" si="124"/>
        <v>-1.7084888527206203</v>
      </c>
      <c r="AU315" s="121"/>
      <c r="AV315" s="111"/>
      <c r="AW315" s="111"/>
      <c r="AX315" s="111"/>
      <c r="AY315" s="116"/>
      <c r="AZ315" s="172">
        <f t="shared" si="95"/>
        <v>0</v>
      </c>
      <c r="BA315" s="130">
        <v>35252.9</v>
      </c>
    </row>
    <row r="316" spans="1:53" ht="12.75">
      <c r="A316" s="1">
        <v>33</v>
      </c>
      <c r="B316" s="84" t="s">
        <v>59</v>
      </c>
      <c r="C316" s="6">
        <v>128.4</v>
      </c>
      <c r="D316" s="6">
        <v>0</v>
      </c>
      <c r="E316" s="25">
        <f t="shared" si="111"/>
        <v>128.4</v>
      </c>
      <c r="F316" s="5">
        <v>0</v>
      </c>
      <c r="G316" s="5">
        <v>1.84</v>
      </c>
      <c r="H316" s="5">
        <f t="shared" si="112"/>
        <v>1.84</v>
      </c>
      <c r="I316" s="28">
        <f t="shared" si="113"/>
        <v>1417.536</v>
      </c>
      <c r="J316" s="5">
        <f t="shared" si="114"/>
        <v>0</v>
      </c>
      <c r="K316" s="5">
        <f t="shared" si="115"/>
        <v>1.9679192306399997</v>
      </c>
      <c r="L316" s="27">
        <f t="shared" si="116"/>
        <v>1.9679192306399997</v>
      </c>
      <c r="M316" s="61">
        <f t="shared" si="117"/>
        <v>1516.0849752850559</v>
      </c>
      <c r="N316" s="34">
        <f t="shared" si="118"/>
        <v>2933.620975285056</v>
      </c>
      <c r="O316" s="34"/>
      <c r="P316" s="34"/>
      <c r="Q316" s="5">
        <f t="shared" si="119"/>
        <v>2933.620975285056</v>
      </c>
      <c r="R316" s="30">
        <f t="shared" si="106"/>
        <v>2933.620975285056</v>
      </c>
      <c r="S316" s="1">
        <v>236.26</v>
      </c>
      <c r="T316" s="1">
        <v>236.26</v>
      </c>
      <c r="U316" s="1">
        <v>236.26</v>
      </c>
      <c r="V316" s="1">
        <v>236.26</v>
      </c>
      <c r="W316" s="1">
        <v>236.26</v>
      </c>
      <c r="X316" s="1">
        <v>236.26</v>
      </c>
      <c r="Y316" s="1">
        <v>252.95</v>
      </c>
      <c r="Z316" s="1">
        <v>252.95</v>
      </c>
      <c r="AA316" s="1">
        <v>252.95</v>
      </c>
      <c r="AB316" s="1">
        <v>97.92</v>
      </c>
      <c r="AC316" s="165">
        <f t="shared" si="120"/>
        <v>2274.33</v>
      </c>
      <c r="AD316" s="1">
        <v>0</v>
      </c>
      <c r="AE316" s="1">
        <v>155.03</v>
      </c>
      <c r="AF316" s="1">
        <v>0</v>
      </c>
      <c r="AG316" s="1">
        <v>252.95</v>
      </c>
      <c r="AH316" s="1">
        <v>0</v>
      </c>
      <c r="AI316" s="1">
        <v>252.95</v>
      </c>
      <c r="AJ316" s="6">
        <f t="shared" si="121"/>
        <v>2935.2599999999998</v>
      </c>
      <c r="AK316" s="1"/>
      <c r="AL316" s="1"/>
      <c r="AM316" s="1"/>
      <c r="AN316" s="1"/>
      <c r="AO316" s="6">
        <f t="shared" si="122"/>
        <v>2935.2599999999998</v>
      </c>
      <c r="AP316" s="136">
        <f t="shared" si="123"/>
        <v>-1.6390247149438437</v>
      </c>
      <c r="AQ316" s="110"/>
      <c r="AR316" s="110"/>
      <c r="AS316" s="111"/>
      <c r="AT316" s="111">
        <f t="shared" si="124"/>
        <v>-1.6390247149438437</v>
      </c>
      <c r="AU316" s="121"/>
      <c r="AV316" s="111"/>
      <c r="AW316" s="111"/>
      <c r="AX316" s="111"/>
      <c r="AY316" s="116"/>
      <c r="AZ316" s="172">
        <f t="shared" si="95"/>
        <v>0</v>
      </c>
      <c r="BA316" s="130">
        <v>27043.57</v>
      </c>
    </row>
    <row r="317" spans="1:53" ht="12.75">
      <c r="A317" s="1">
        <v>34</v>
      </c>
      <c r="B317" s="84" t="s">
        <v>61</v>
      </c>
      <c r="C317" s="6">
        <v>498.5</v>
      </c>
      <c r="D317" s="6">
        <v>0</v>
      </c>
      <c r="E317" s="25">
        <f t="shared" si="111"/>
        <v>498.5</v>
      </c>
      <c r="F317" s="5">
        <v>0</v>
      </c>
      <c r="G317" s="5">
        <v>1.84</v>
      </c>
      <c r="H317" s="5">
        <f t="shared" si="112"/>
        <v>1.84</v>
      </c>
      <c r="I317" s="28">
        <f t="shared" si="113"/>
        <v>5503.4400000000005</v>
      </c>
      <c r="J317" s="5">
        <f t="shared" si="114"/>
        <v>0</v>
      </c>
      <c r="K317" s="5">
        <f t="shared" si="115"/>
        <v>1.9679192306399997</v>
      </c>
      <c r="L317" s="27">
        <f t="shared" si="116"/>
        <v>1.9679192306399997</v>
      </c>
      <c r="M317" s="61">
        <f t="shared" si="117"/>
        <v>5886.046418844239</v>
      </c>
      <c r="N317" s="34">
        <f t="shared" si="118"/>
        <v>11389.48641884424</v>
      </c>
      <c r="O317" s="34"/>
      <c r="P317" s="34"/>
      <c r="Q317" s="5">
        <f t="shared" si="119"/>
        <v>11389.48641884424</v>
      </c>
      <c r="R317" s="30">
        <v>11006.88</v>
      </c>
      <c r="S317" s="1">
        <v>917.24</v>
      </c>
      <c r="T317" s="1">
        <v>917.24</v>
      </c>
      <c r="U317" s="1">
        <v>917.24</v>
      </c>
      <c r="V317" s="1">
        <v>917.24</v>
      </c>
      <c r="W317" s="1">
        <v>917.24</v>
      </c>
      <c r="X317" s="1">
        <v>917.24</v>
      </c>
      <c r="Y317" s="1">
        <v>982.05</v>
      </c>
      <c r="Z317" s="1">
        <v>982.05</v>
      </c>
      <c r="AA317" s="1">
        <v>982.05</v>
      </c>
      <c r="AB317" s="1">
        <v>380.15</v>
      </c>
      <c r="AC317" s="165">
        <f t="shared" si="120"/>
        <v>8829.74</v>
      </c>
      <c r="AD317" s="1">
        <v>0</v>
      </c>
      <c r="AE317" s="1">
        <v>601.9</v>
      </c>
      <c r="AF317" s="1">
        <v>0</v>
      </c>
      <c r="AG317" s="1">
        <v>982.05</v>
      </c>
      <c r="AH317" s="1">
        <v>0</v>
      </c>
      <c r="AI317" s="1">
        <v>982.05</v>
      </c>
      <c r="AJ317" s="6">
        <f t="shared" si="121"/>
        <v>11395.739999999998</v>
      </c>
      <c r="AK317" s="1"/>
      <c r="AL317" s="1"/>
      <c r="AM317" s="1"/>
      <c r="AN317" s="1"/>
      <c r="AO317" s="6">
        <f t="shared" si="122"/>
        <v>11395.739999999998</v>
      </c>
      <c r="AP317" s="136">
        <f t="shared" si="123"/>
        <v>-388.85999999999876</v>
      </c>
      <c r="AQ317" s="110"/>
      <c r="AR317" s="110"/>
      <c r="AS317" s="111"/>
      <c r="AT317" s="111">
        <f t="shared" si="124"/>
        <v>-388.85999999999876</v>
      </c>
      <c r="AU317" s="121"/>
      <c r="AV317" s="111"/>
      <c r="AW317" s="111"/>
      <c r="AX317" s="111"/>
      <c r="AY317" s="116"/>
      <c r="AZ317" s="172">
        <f t="shared" si="95"/>
        <v>0</v>
      </c>
      <c r="BA317" s="130">
        <v>36958.67</v>
      </c>
    </row>
    <row r="318" spans="1:53" ht="12.75">
      <c r="A318" s="1">
        <v>35</v>
      </c>
      <c r="B318" s="10" t="s">
        <v>62</v>
      </c>
      <c r="C318" s="6">
        <v>365.2</v>
      </c>
      <c r="D318" s="6">
        <v>0</v>
      </c>
      <c r="E318" s="25">
        <f t="shared" si="111"/>
        <v>365.2</v>
      </c>
      <c r="F318" s="5">
        <v>0</v>
      </c>
      <c r="G318" s="5">
        <v>1.84</v>
      </c>
      <c r="H318" s="5">
        <f t="shared" si="112"/>
        <v>1.84</v>
      </c>
      <c r="I318" s="28">
        <f t="shared" si="113"/>
        <v>4031.808</v>
      </c>
      <c r="J318" s="5">
        <f t="shared" si="114"/>
        <v>0</v>
      </c>
      <c r="K318" s="5">
        <f t="shared" si="115"/>
        <v>1.9679192306399997</v>
      </c>
      <c r="L318" s="27">
        <f t="shared" si="116"/>
        <v>1.9679192306399997</v>
      </c>
      <c r="M318" s="61">
        <f t="shared" si="117"/>
        <v>4312.104618178368</v>
      </c>
      <c r="N318" s="34">
        <f t="shared" si="118"/>
        <v>8343.912618178369</v>
      </c>
      <c r="O318" s="34"/>
      <c r="P318" s="34"/>
      <c r="Q318" s="5">
        <f t="shared" si="119"/>
        <v>8343.912618178369</v>
      </c>
      <c r="R318" s="30">
        <f t="shared" si="106"/>
        <v>8343.912618178369</v>
      </c>
      <c r="S318" s="1">
        <v>671.97</v>
      </c>
      <c r="T318" s="1">
        <v>671.97</v>
      </c>
      <c r="U318" s="1">
        <v>671.97</v>
      </c>
      <c r="V318" s="1">
        <v>671.97</v>
      </c>
      <c r="W318" s="1">
        <v>671.97</v>
      </c>
      <c r="X318" s="1">
        <v>671.97</v>
      </c>
      <c r="Y318" s="1">
        <v>719.44</v>
      </c>
      <c r="Z318" s="1">
        <v>719.44</v>
      </c>
      <c r="AA318" s="1">
        <v>719.44</v>
      </c>
      <c r="AB318" s="1">
        <v>278.49</v>
      </c>
      <c r="AC318" s="165">
        <f t="shared" si="120"/>
        <v>6468.630000000001</v>
      </c>
      <c r="AD318" s="1">
        <v>0</v>
      </c>
      <c r="AE318" s="1">
        <v>440.95</v>
      </c>
      <c r="AF318" s="1"/>
      <c r="AG318" s="1">
        <v>719.44</v>
      </c>
      <c r="AH318" s="1">
        <v>0</v>
      </c>
      <c r="AI318" s="1">
        <v>719.44</v>
      </c>
      <c r="AJ318" s="6">
        <f t="shared" si="121"/>
        <v>8348.460000000001</v>
      </c>
      <c r="AK318" s="1"/>
      <c r="AL318" s="1"/>
      <c r="AM318" s="1"/>
      <c r="AN318" s="1"/>
      <c r="AO318" s="6">
        <f t="shared" si="122"/>
        <v>8348.460000000001</v>
      </c>
      <c r="AP318" s="136">
        <f t="shared" si="123"/>
        <v>-4.547381821632371</v>
      </c>
      <c r="AQ318" s="110"/>
      <c r="AR318" s="110"/>
      <c r="AS318" s="111"/>
      <c r="AT318" s="111">
        <f t="shared" si="124"/>
        <v>-4.547381821632371</v>
      </c>
      <c r="AU318" s="133"/>
      <c r="AV318" s="111"/>
      <c r="AW318" s="111"/>
      <c r="AX318" s="111"/>
      <c r="AY318" s="134"/>
      <c r="AZ318" s="172">
        <f t="shared" si="95"/>
        <v>0</v>
      </c>
      <c r="BA318" s="127">
        <v>1780.2</v>
      </c>
    </row>
    <row r="319" spans="1:53" ht="12.75">
      <c r="A319" s="1">
        <v>36</v>
      </c>
      <c r="B319" s="10" t="s">
        <v>312</v>
      </c>
      <c r="C319" s="1">
        <v>534.5</v>
      </c>
      <c r="D319" s="1">
        <v>0</v>
      </c>
      <c r="E319" s="7">
        <f aca="true" t="shared" si="126" ref="E319:E350">C319+D319</f>
        <v>534.5</v>
      </c>
      <c r="F319" s="5">
        <v>0</v>
      </c>
      <c r="G319" s="5">
        <v>2.8</v>
      </c>
      <c r="H319" s="5">
        <f t="shared" si="112"/>
        <v>2.8</v>
      </c>
      <c r="I319" s="28">
        <f t="shared" si="113"/>
        <v>8979.599999999999</v>
      </c>
      <c r="J319" s="5">
        <f t="shared" si="114"/>
        <v>0</v>
      </c>
      <c r="K319" s="5">
        <f t="shared" si="115"/>
        <v>2.994659698799999</v>
      </c>
      <c r="L319" s="27">
        <f t="shared" si="116"/>
        <v>2.994659698799999</v>
      </c>
      <c r="M319" s="61">
        <f t="shared" si="117"/>
        <v>9603.873654051598</v>
      </c>
      <c r="N319" s="34">
        <f t="shared" si="118"/>
        <v>18583.473654051595</v>
      </c>
      <c r="O319" s="34">
        <v>817.03</v>
      </c>
      <c r="P319" s="34"/>
      <c r="Q319" s="5">
        <f t="shared" si="119"/>
        <v>17766.443654051596</v>
      </c>
      <c r="R319" s="30">
        <f t="shared" si="106"/>
        <v>17766.443654051596</v>
      </c>
      <c r="S319" s="1">
        <v>983.85</v>
      </c>
      <c r="T319" s="1">
        <v>1158.12</v>
      </c>
      <c r="U319" s="1">
        <v>983.85</v>
      </c>
      <c r="V319" s="1">
        <v>983.85</v>
      </c>
      <c r="W319" s="1">
        <v>983.85</v>
      </c>
      <c r="X319" s="1">
        <v>983.85</v>
      </c>
      <c r="Y319" s="1">
        <v>1053.36</v>
      </c>
      <c r="Z319" s="1">
        <v>1053.36</v>
      </c>
      <c r="AA319" s="1">
        <v>1053.36</v>
      </c>
      <c r="AB319" s="1">
        <v>407.75</v>
      </c>
      <c r="AC319" s="165">
        <f t="shared" si="120"/>
        <v>9645.2</v>
      </c>
      <c r="AD319" s="1">
        <v>0</v>
      </c>
      <c r="AE319" s="1">
        <v>1143.01</v>
      </c>
      <c r="AF319" s="1"/>
      <c r="AG319" s="1">
        <v>2047.91</v>
      </c>
      <c r="AH319" s="1">
        <v>0</v>
      </c>
      <c r="AI319" s="1">
        <v>1053.36</v>
      </c>
      <c r="AJ319" s="6">
        <f t="shared" si="121"/>
        <v>13889.480000000001</v>
      </c>
      <c r="AK319" s="1"/>
      <c r="AL319" s="1"/>
      <c r="AM319" s="1"/>
      <c r="AN319" s="1"/>
      <c r="AO319" s="6">
        <f t="shared" si="122"/>
        <v>13889.480000000001</v>
      </c>
      <c r="AP319" s="91">
        <f t="shared" si="123"/>
        <v>3876.963654051595</v>
      </c>
      <c r="AQ319" s="10"/>
      <c r="AR319" s="10"/>
      <c r="AS319" s="34"/>
      <c r="AT319" s="116">
        <f aca="true" t="shared" si="127" ref="AT319:AT350">AP319+AQ319+AR319+AS319</f>
        <v>3876.963654051595</v>
      </c>
      <c r="AU319" s="134"/>
      <c r="AV319" s="116"/>
      <c r="AW319" s="116"/>
      <c r="AX319" s="116">
        <f>AT319+AU319-AV319</f>
        <v>3876.963654051595</v>
      </c>
      <c r="AY319" s="134"/>
      <c r="AZ319" s="172">
        <f t="shared" si="95"/>
        <v>3876.963654051595</v>
      </c>
      <c r="BA319" s="127">
        <v>131808.14</v>
      </c>
    </row>
    <row r="320" spans="1:53" ht="12.75">
      <c r="A320" s="1">
        <v>37</v>
      </c>
      <c r="B320" s="10" t="s">
        <v>313</v>
      </c>
      <c r="C320" s="1">
        <v>549.7</v>
      </c>
      <c r="D320" s="1">
        <v>0</v>
      </c>
      <c r="E320" s="7">
        <f t="shared" si="126"/>
        <v>549.7</v>
      </c>
      <c r="F320" s="5">
        <v>0</v>
      </c>
      <c r="G320" s="5">
        <v>2.8</v>
      </c>
      <c r="H320" s="5">
        <f t="shared" si="112"/>
        <v>2.8</v>
      </c>
      <c r="I320" s="28">
        <f t="shared" si="113"/>
        <v>9234.960000000001</v>
      </c>
      <c r="J320" s="5">
        <f t="shared" si="114"/>
        <v>0</v>
      </c>
      <c r="K320" s="5">
        <f t="shared" si="115"/>
        <v>2.994659698799999</v>
      </c>
      <c r="L320" s="27">
        <f t="shared" si="116"/>
        <v>2.994659698799999</v>
      </c>
      <c r="M320" s="61">
        <f t="shared" si="117"/>
        <v>9876.98661858216</v>
      </c>
      <c r="N320" s="34">
        <f t="shared" si="118"/>
        <v>19111.94661858216</v>
      </c>
      <c r="O320" s="34">
        <v>713.61</v>
      </c>
      <c r="P320" s="34"/>
      <c r="Q320" s="5">
        <f t="shared" si="119"/>
        <v>18398.336618582158</v>
      </c>
      <c r="R320" s="30">
        <f t="shared" si="106"/>
        <v>18398.336618582158</v>
      </c>
      <c r="S320" s="1">
        <v>1011.45</v>
      </c>
      <c r="T320" s="1">
        <v>1185.72</v>
      </c>
      <c r="U320" s="1">
        <v>1011.45</v>
      </c>
      <c r="V320" s="1">
        <v>1011.45</v>
      </c>
      <c r="W320" s="1">
        <v>1011.45</v>
      </c>
      <c r="X320" s="1">
        <v>1011.45</v>
      </c>
      <c r="Y320" s="1">
        <v>1082.91</v>
      </c>
      <c r="Z320" s="1">
        <v>1082.91</v>
      </c>
      <c r="AA320" s="1">
        <v>1082.91</v>
      </c>
      <c r="AB320" s="1">
        <v>419.19</v>
      </c>
      <c r="AC320" s="165">
        <f t="shared" si="120"/>
        <v>9910.89</v>
      </c>
      <c r="AD320" s="1">
        <v>0</v>
      </c>
      <c r="AE320" s="1">
        <v>1161.12</v>
      </c>
      <c r="AF320" s="1"/>
      <c r="AG320" s="1">
        <v>2077.46</v>
      </c>
      <c r="AH320" s="1">
        <v>0</v>
      </c>
      <c r="AI320" s="1">
        <v>1082.91</v>
      </c>
      <c r="AJ320" s="6">
        <f t="shared" si="121"/>
        <v>14232.379999999997</v>
      </c>
      <c r="AK320" s="1"/>
      <c r="AL320" s="1"/>
      <c r="AM320" s="1"/>
      <c r="AN320" s="1"/>
      <c r="AO320" s="6">
        <f t="shared" si="122"/>
        <v>14232.379999999997</v>
      </c>
      <c r="AP320" s="91">
        <f t="shared" si="123"/>
        <v>4165.95661858216</v>
      </c>
      <c r="AQ320" s="10"/>
      <c r="AR320" s="10"/>
      <c r="AS320" s="34"/>
      <c r="AT320" s="116">
        <f t="shared" si="127"/>
        <v>4165.95661858216</v>
      </c>
      <c r="AU320" s="116"/>
      <c r="AV320" s="116"/>
      <c r="AW320" s="116"/>
      <c r="AX320" s="116">
        <f>AT320+AU320-AV320</f>
        <v>4165.95661858216</v>
      </c>
      <c r="AY320" s="116"/>
      <c r="AZ320" s="172">
        <f t="shared" si="95"/>
        <v>4165.95661858216</v>
      </c>
      <c r="BA320" s="130">
        <v>173576.51</v>
      </c>
    </row>
    <row r="321" spans="1:53" ht="12.75">
      <c r="A321" s="1">
        <v>38</v>
      </c>
      <c r="B321" s="10" t="s">
        <v>314</v>
      </c>
      <c r="C321" s="1">
        <v>465.8</v>
      </c>
      <c r="D321" s="1">
        <v>0</v>
      </c>
      <c r="E321" s="7">
        <f t="shared" si="126"/>
        <v>465.8</v>
      </c>
      <c r="F321" s="5">
        <v>0</v>
      </c>
      <c r="G321" s="5">
        <v>2.8</v>
      </c>
      <c r="H321" s="5">
        <f t="shared" si="112"/>
        <v>2.8</v>
      </c>
      <c r="I321" s="28">
        <f t="shared" si="113"/>
        <v>7825.4400000000005</v>
      </c>
      <c r="J321" s="5">
        <f t="shared" si="114"/>
        <v>0</v>
      </c>
      <c r="K321" s="5">
        <f t="shared" si="115"/>
        <v>2.994659698799999</v>
      </c>
      <c r="L321" s="27">
        <f t="shared" si="116"/>
        <v>2.994659698799999</v>
      </c>
      <c r="M321" s="61">
        <f t="shared" si="117"/>
        <v>8369.474926206238</v>
      </c>
      <c r="N321" s="34">
        <f t="shared" si="118"/>
        <v>16194.914926206238</v>
      </c>
      <c r="O321" s="34">
        <v>6552.26</v>
      </c>
      <c r="P321" s="34"/>
      <c r="Q321" s="5">
        <f t="shared" si="119"/>
        <v>9642.654926206238</v>
      </c>
      <c r="R321" s="30">
        <v>10284.86</v>
      </c>
      <c r="S321" s="1">
        <v>857.07</v>
      </c>
      <c r="T321" s="1">
        <v>857.07</v>
      </c>
      <c r="U321" s="1">
        <v>857.07</v>
      </c>
      <c r="V321" s="1">
        <v>857.07</v>
      </c>
      <c r="W321" s="1">
        <v>857.07</v>
      </c>
      <c r="X321" s="1">
        <v>857.07</v>
      </c>
      <c r="Y321" s="1">
        <v>917.63</v>
      </c>
      <c r="Z321" s="1">
        <v>917.63</v>
      </c>
      <c r="AA321" s="1">
        <v>917.63</v>
      </c>
      <c r="AB321" s="1">
        <v>355.21</v>
      </c>
      <c r="AC321" s="165">
        <f t="shared" si="120"/>
        <v>8250.52</v>
      </c>
      <c r="AD321" s="1">
        <v>0</v>
      </c>
      <c r="AE321" s="1">
        <v>1059.82</v>
      </c>
      <c r="AF321" s="1"/>
      <c r="AG321" s="1">
        <v>1475.87</v>
      </c>
      <c r="AH321" s="1">
        <v>0</v>
      </c>
      <c r="AI321" s="1">
        <v>917.63</v>
      </c>
      <c r="AJ321" s="6">
        <f t="shared" si="121"/>
        <v>11703.839999999998</v>
      </c>
      <c r="AK321" s="1"/>
      <c r="AL321" s="1"/>
      <c r="AM321" s="1"/>
      <c r="AN321" s="1"/>
      <c r="AO321" s="6">
        <f t="shared" si="122"/>
        <v>11703.839999999998</v>
      </c>
      <c r="AP321" s="136">
        <f t="shared" si="123"/>
        <v>-1418.9799999999977</v>
      </c>
      <c r="AQ321" s="110"/>
      <c r="AR321" s="110"/>
      <c r="AS321" s="111"/>
      <c r="AT321" s="111">
        <f t="shared" si="127"/>
        <v>-1418.9799999999977</v>
      </c>
      <c r="AU321" s="133"/>
      <c r="AV321" s="111"/>
      <c r="AW321" s="111"/>
      <c r="AX321" s="111"/>
      <c r="AY321" s="134"/>
      <c r="AZ321" s="172">
        <f t="shared" si="95"/>
        <v>0</v>
      </c>
      <c r="BA321" s="127">
        <v>65579.31</v>
      </c>
    </row>
    <row r="322" spans="1:53" ht="12.75">
      <c r="A322" s="1">
        <v>39</v>
      </c>
      <c r="B322" s="10" t="s">
        <v>315</v>
      </c>
      <c r="C322" s="1">
        <v>385.2</v>
      </c>
      <c r="D322" s="1">
        <v>0</v>
      </c>
      <c r="E322" s="7">
        <f t="shared" si="126"/>
        <v>385.2</v>
      </c>
      <c r="F322" s="5">
        <v>0</v>
      </c>
      <c r="G322" s="5">
        <v>1.84</v>
      </c>
      <c r="H322" s="5">
        <f t="shared" si="112"/>
        <v>1.84</v>
      </c>
      <c r="I322" s="28">
        <f t="shared" si="113"/>
        <v>4252.608</v>
      </c>
      <c r="J322" s="5">
        <f t="shared" si="114"/>
        <v>0</v>
      </c>
      <c r="K322" s="5">
        <f t="shared" si="115"/>
        <v>1.9679192306399997</v>
      </c>
      <c r="L322" s="27">
        <f t="shared" si="116"/>
        <v>1.9679192306399997</v>
      </c>
      <c r="M322" s="61">
        <f t="shared" si="117"/>
        <v>4548.254925855168</v>
      </c>
      <c r="N322" s="34">
        <f t="shared" si="118"/>
        <v>8800.862925855168</v>
      </c>
      <c r="O322" s="34">
        <v>0.01</v>
      </c>
      <c r="P322" s="34"/>
      <c r="Q322" s="5">
        <f t="shared" si="119"/>
        <v>8800.852925855168</v>
      </c>
      <c r="R322" s="30">
        <f t="shared" si="106"/>
        <v>8800.852925855168</v>
      </c>
      <c r="S322" s="1">
        <v>708.77</v>
      </c>
      <c r="T322" s="1">
        <v>708.77</v>
      </c>
      <c r="U322" s="1">
        <v>708.77</v>
      </c>
      <c r="V322" s="1">
        <v>708.77</v>
      </c>
      <c r="W322" s="1">
        <v>708.77</v>
      </c>
      <c r="X322" s="1">
        <v>708.77</v>
      </c>
      <c r="Y322" s="1">
        <v>758.84</v>
      </c>
      <c r="Z322" s="1">
        <v>758.84</v>
      </c>
      <c r="AA322" s="1">
        <v>758.84</v>
      </c>
      <c r="AB322" s="1">
        <v>293.75</v>
      </c>
      <c r="AC322" s="165">
        <f t="shared" si="120"/>
        <v>6822.89</v>
      </c>
      <c r="AD322" s="1">
        <v>0</v>
      </c>
      <c r="AE322" s="1">
        <v>465.1</v>
      </c>
      <c r="AF322" s="1"/>
      <c r="AG322" s="1">
        <v>758.84</v>
      </c>
      <c r="AH322" s="1">
        <v>0</v>
      </c>
      <c r="AI322" s="1">
        <v>758.84</v>
      </c>
      <c r="AJ322" s="6">
        <f t="shared" si="121"/>
        <v>8805.67</v>
      </c>
      <c r="AK322" s="1"/>
      <c r="AL322" s="1"/>
      <c r="AM322" s="1"/>
      <c r="AN322" s="1"/>
      <c r="AO322" s="6">
        <f t="shared" si="122"/>
        <v>8805.67</v>
      </c>
      <c r="AP322" s="136">
        <f t="shared" si="123"/>
        <v>-4.817074144832077</v>
      </c>
      <c r="AQ322" s="110"/>
      <c r="AR322" s="110"/>
      <c r="AS322" s="111"/>
      <c r="AT322" s="111">
        <f t="shared" si="127"/>
        <v>-4.817074144832077</v>
      </c>
      <c r="AU322" s="133"/>
      <c r="AV322" s="111"/>
      <c r="AW322" s="111"/>
      <c r="AX322" s="111"/>
      <c r="AY322" s="134"/>
      <c r="AZ322" s="172">
        <f t="shared" si="95"/>
        <v>0</v>
      </c>
      <c r="BA322" s="127">
        <v>133120.21</v>
      </c>
    </row>
    <row r="323" spans="1:53" ht="12.75">
      <c r="A323" s="1">
        <v>40</v>
      </c>
      <c r="B323" s="84" t="s">
        <v>316</v>
      </c>
      <c r="C323" s="1">
        <v>450</v>
      </c>
      <c r="D323" s="1">
        <v>0</v>
      </c>
      <c r="E323" s="7">
        <f t="shared" si="126"/>
        <v>450</v>
      </c>
      <c r="F323" s="5">
        <v>0</v>
      </c>
      <c r="G323" s="5">
        <v>1.84</v>
      </c>
      <c r="H323" s="5">
        <f t="shared" si="112"/>
        <v>1.84</v>
      </c>
      <c r="I323" s="28">
        <f t="shared" si="113"/>
        <v>4968</v>
      </c>
      <c r="J323" s="5">
        <f t="shared" si="114"/>
        <v>0</v>
      </c>
      <c r="K323" s="5">
        <f t="shared" si="115"/>
        <v>1.9679192306399997</v>
      </c>
      <c r="L323" s="27">
        <f t="shared" si="116"/>
        <v>1.9679192306399997</v>
      </c>
      <c r="M323" s="61">
        <f t="shared" si="117"/>
        <v>5313.381922727999</v>
      </c>
      <c r="N323" s="34">
        <f t="shared" si="118"/>
        <v>10281.381922728</v>
      </c>
      <c r="O323" s="34"/>
      <c r="P323" s="34"/>
      <c r="Q323" s="5">
        <f t="shared" si="119"/>
        <v>10281.381922728</v>
      </c>
      <c r="R323" s="30">
        <f t="shared" si="106"/>
        <v>10281.381922728</v>
      </c>
      <c r="S323" s="1">
        <v>890.19</v>
      </c>
      <c r="T323" s="1">
        <v>890.19</v>
      </c>
      <c r="U323" s="1">
        <v>890.19</v>
      </c>
      <c r="V323" s="1">
        <v>890.19</v>
      </c>
      <c r="W323" s="1">
        <v>890.19</v>
      </c>
      <c r="X323" s="1">
        <v>890.19</v>
      </c>
      <c r="Y323" s="1">
        <v>953.09</v>
      </c>
      <c r="Z323" s="1">
        <v>953.09</v>
      </c>
      <c r="AA323" s="1">
        <v>953.09</v>
      </c>
      <c r="AB323" s="1">
        <v>368.94</v>
      </c>
      <c r="AC323" s="165">
        <f t="shared" si="120"/>
        <v>8569.350000000002</v>
      </c>
      <c r="AD323" s="1">
        <v>0</v>
      </c>
      <c r="AE323" s="1">
        <v>584.15</v>
      </c>
      <c r="AF323" s="1">
        <v>0</v>
      </c>
      <c r="AG323" s="1">
        <v>953.09</v>
      </c>
      <c r="AH323" s="1">
        <v>0</v>
      </c>
      <c r="AI323" s="1">
        <v>953.09</v>
      </c>
      <c r="AJ323" s="6">
        <f t="shared" si="121"/>
        <v>11059.680000000002</v>
      </c>
      <c r="AK323" s="1"/>
      <c r="AL323" s="1"/>
      <c r="AM323" s="1"/>
      <c r="AN323" s="1"/>
      <c r="AO323" s="6">
        <f t="shared" si="122"/>
        <v>11059.680000000002</v>
      </c>
      <c r="AP323" s="136">
        <f t="shared" si="123"/>
        <v>-778.298077272002</v>
      </c>
      <c r="AQ323" s="110"/>
      <c r="AR323" s="110"/>
      <c r="AS323" s="111"/>
      <c r="AT323" s="111">
        <f t="shared" si="127"/>
        <v>-778.298077272002</v>
      </c>
      <c r="AU323" s="121"/>
      <c r="AV323" s="111"/>
      <c r="AW323" s="111"/>
      <c r="AX323" s="111"/>
      <c r="AY323" s="116"/>
      <c r="AZ323" s="172">
        <f t="shared" si="95"/>
        <v>0</v>
      </c>
      <c r="BA323" s="130">
        <v>165960.48</v>
      </c>
    </row>
    <row r="324" spans="1:53" ht="12.75">
      <c r="A324" s="1">
        <v>41</v>
      </c>
      <c r="B324" s="84" t="s">
        <v>317</v>
      </c>
      <c r="C324" s="1">
        <v>520</v>
      </c>
      <c r="D324" s="1">
        <v>0</v>
      </c>
      <c r="E324" s="7">
        <f t="shared" si="126"/>
        <v>520</v>
      </c>
      <c r="F324" s="5">
        <v>0</v>
      </c>
      <c r="G324" s="5">
        <v>1.84</v>
      </c>
      <c r="H324" s="5">
        <f t="shared" si="112"/>
        <v>1.84</v>
      </c>
      <c r="I324" s="28">
        <f t="shared" si="113"/>
        <v>5740.8</v>
      </c>
      <c r="J324" s="5">
        <f t="shared" si="114"/>
        <v>0</v>
      </c>
      <c r="K324" s="5">
        <f t="shared" si="115"/>
        <v>1.9679192306399997</v>
      </c>
      <c r="L324" s="27">
        <f t="shared" si="116"/>
        <v>1.9679192306399997</v>
      </c>
      <c r="M324" s="61">
        <f t="shared" si="117"/>
        <v>6139.9079995967995</v>
      </c>
      <c r="N324" s="34">
        <f t="shared" si="118"/>
        <v>11880.7079995968</v>
      </c>
      <c r="O324" s="34"/>
      <c r="P324" s="34"/>
      <c r="Q324" s="5">
        <f t="shared" si="119"/>
        <v>11880.7079995968</v>
      </c>
      <c r="R324" s="30">
        <f t="shared" si="106"/>
        <v>11880.7079995968</v>
      </c>
      <c r="S324" s="1">
        <v>953.12</v>
      </c>
      <c r="T324" s="1">
        <v>953.12</v>
      </c>
      <c r="U324" s="1">
        <v>953.12</v>
      </c>
      <c r="V324" s="1">
        <v>953.12</v>
      </c>
      <c r="W324" s="1">
        <v>953.12</v>
      </c>
      <c r="X324" s="1">
        <v>953.12</v>
      </c>
      <c r="Y324" s="1">
        <v>1020.46</v>
      </c>
      <c r="Z324" s="1">
        <v>1020.46</v>
      </c>
      <c r="AA324" s="1">
        <v>1020.46</v>
      </c>
      <c r="AB324" s="1">
        <v>395.02</v>
      </c>
      <c r="AC324" s="165">
        <f t="shared" si="120"/>
        <v>9175.12</v>
      </c>
      <c r="AD324" s="1">
        <v>0</v>
      </c>
      <c r="AE324" s="1">
        <v>625.44</v>
      </c>
      <c r="AF324" s="1">
        <v>0</v>
      </c>
      <c r="AG324" s="1">
        <v>1020.46</v>
      </c>
      <c r="AH324" s="1">
        <v>0</v>
      </c>
      <c r="AI324" s="1">
        <v>1020.46</v>
      </c>
      <c r="AJ324" s="6">
        <f t="shared" si="121"/>
        <v>11841.48</v>
      </c>
      <c r="AK324" s="1"/>
      <c r="AL324" s="1"/>
      <c r="AM324" s="1"/>
      <c r="AN324" s="1"/>
      <c r="AO324" s="6">
        <f t="shared" si="122"/>
        <v>11841.48</v>
      </c>
      <c r="AP324" s="91">
        <f t="shared" si="123"/>
        <v>39.227999596800146</v>
      </c>
      <c r="AQ324" s="10"/>
      <c r="AR324" s="10"/>
      <c r="AS324" s="34"/>
      <c r="AT324" s="116">
        <f t="shared" si="127"/>
        <v>39.227999596800146</v>
      </c>
      <c r="AU324" s="116"/>
      <c r="AV324" s="116"/>
      <c r="AW324" s="116"/>
      <c r="AX324" s="116">
        <f>AT324+AU324-AV324</f>
        <v>39.227999596800146</v>
      </c>
      <c r="AY324" s="116"/>
      <c r="AZ324" s="172">
        <f t="shared" si="95"/>
        <v>39.227999596800146</v>
      </c>
      <c r="BA324" s="130">
        <v>154713.28</v>
      </c>
    </row>
    <row r="325" spans="1:53" ht="12.75">
      <c r="A325" s="1">
        <v>42</v>
      </c>
      <c r="B325" s="10" t="s">
        <v>98</v>
      </c>
      <c r="C325" s="6">
        <v>371</v>
      </c>
      <c r="D325" s="6">
        <v>0</v>
      </c>
      <c r="E325" s="25">
        <f t="shared" si="126"/>
        <v>371</v>
      </c>
      <c r="F325" s="5">
        <v>2.9</v>
      </c>
      <c r="G325" s="5">
        <v>2.47</v>
      </c>
      <c r="H325" s="5">
        <f t="shared" si="112"/>
        <v>5.37</v>
      </c>
      <c r="I325" s="28">
        <f t="shared" si="113"/>
        <v>11953.619999999999</v>
      </c>
      <c r="J325" s="5">
        <v>3.1</v>
      </c>
      <c r="K325" s="5">
        <v>2.64</v>
      </c>
      <c r="L325" s="27">
        <f t="shared" si="116"/>
        <v>5.74</v>
      </c>
      <c r="M325" s="61">
        <f t="shared" si="117"/>
        <v>12777.24</v>
      </c>
      <c r="N325" s="34">
        <f t="shared" si="118"/>
        <v>24730.86</v>
      </c>
      <c r="O325" s="34">
        <v>28366.45</v>
      </c>
      <c r="P325" s="34">
        <v>8834.06</v>
      </c>
      <c r="Q325" s="5">
        <f>N325-O325</f>
        <v>-3635.59</v>
      </c>
      <c r="R325" s="30">
        <v>8191.68</v>
      </c>
      <c r="S325" s="1">
        <v>682.64</v>
      </c>
      <c r="T325" s="1">
        <v>682.64</v>
      </c>
      <c r="U325" s="1">
        <v>682.64</v>
      </c>
      <c r="V325" s="1">
        <v>682.64</v>
      </c>
      <c r="W325" s="1">
        <v>682.64</v>
      </c>
      <c r="X325" s="1">
        <v>682.64</v>
      </c>
      <c r="Y325" s="1">
        <v>730.87</v>
      </c>
      <c r="Z325" s="1">
        <v>730.87</v>
      </c>
      <c r="AA325" s="1">
        <v>730.87</v>
      </c>
      <c r="AB325" s="1">
        <v>282.92</v>
      </c>
      <c r="AC325" s="165">
        <f t="shared" si="120"/>
        <v>6571.37</v>
      </c>
      <c r="AD325" s="1">
        <v>0</v>
      </c>
      <c r="AE325" s="1">
        <v>447.95</v>
      </c>
      <c r="AF325" s="1"/>
      <c r="AG325" s="1">
        <v>730.87</v>
      </c>
      <c r="AH325" s="1">
        <v>0</v>
      </c>
      <c r="AI325" s="1">
        <v>730.87</v>
      </c>
      <c r="AJ325" s="6">
        <f t="shared" si="121"/>
        <v>8481.06</v>
      </c>
      <c r="AK325" s="1"/>
      <c r="AL325" s="1"/>
      <c r="AM325" s="1"/>
      <c r="AN325" s="1"/>
      <c r="AO325" s="6">
        <f t="shared" si="122"/>
        <v>8481.06</v>
      </c>
      <c r="AP325" s="136">
        <f t="shared" si="123"/>
        <v>-289.3799999999992</v>
      </c>
      <c r="AQ325" s="110"/>
      <c r="AR325" s="110"/>
      <c r="AS325" s="111"/>
      <c r="AT325" s="111">
        <f t="shared" si="127"/>
        <v>-289.3799999999992</v>
      </c>
      <c r="AU325" s="133"/>
      <c r="AV325" s="111"/>
      <c r="AW325" s="111"/>
      <c r="AX325" s="111"/>
      <c r="AY325" s="134"/>
      <c r="AZ325" s="172">
        <f t="shared" si="95"/>
        <v>0</v>
      </c>
      <c r="BA325" s="127">
        <v>13744.17</v>
      </c>
    </row>
    <row r="326" spans="1:53" ht="12.75">
      <c r="A326" s="1">
        <v>43</v>
      </c>
      <c r="B326" s="117" t="s">
        <v>318</v>
      </c>
      <c r="C326" s="1">
        <v>354.1</v>
      </c>
      <c r="D326" s="1">
        <v>0</v>
      </c>
      <c r="E326" s="7">
        <f t="shared" si="126"/>
        <v>354.1</v>
      </c>
      <c r="F326" s="5">
        <v>0</v>
      </c>
      <c r="G326" s="5">
        <v>2.8</v>
      </c>
      <c r="H326" s="5">
        <f t="shared" si="112"/>
        <v>2.8</v>
      </c>
      <c r="I326" s="28">
        <f t="shared" si="113"/>
        <v>5948.88</v>
      </c>
      <c r="J326" s="5">
        <f t="shared" si="114"/>
        <v>0</v>
      </c>
      <c r="K326" s="5">
        <f t="shared" si="115"/>
        <v>2.994659698799999</v>
      </c>
      <c r="L326" s="27">
        <f t="shared" si="116"/>
        <v>2.994659698799999</v>
      </c>
      <c r="M326" s="61">
        <f t="shared" si="117"/>
        <v>6362.453996070479</v>
      </c>
      <c r="N326" s="34">
        <f t="shared" si="118"/>
        <v>12311.33399607048</v>
      </c>
      <c r="O326" s="34">
        <v>942.94</v>
      </c>
      <c r="P326" s="34"/>
      <c r="Q326" s="5">
        <f t="shared" si="119"/>
        <v>11368.39399607048</v>
      </c>
      <c r="R326" s="30">
        <f t="shared" si="106"/>
        <v>11368.39399607048</v>
      </c>
      <c r="S326" s="1">
        <v>651.54</v>
      </c>
      <c r="T326" s="1">
        <v>825.81</v>
      </c>
      <c r="U326" s="1">
        <v>651.54</v>
      </c>
      <c r="V326" s="1">
        <v>651.54</v>
      </c>
      <c r="W326" s="1">
        <v>651.54</v>
      </c>
      <c r="X326" s="1">
        <v>651.54</v>
      </c>
      <c r="Y326" s="1">
        <v>697.58</v>
      </c>
      <c r="Z326" s="1">
        <v>697.58</v>
      </c>
      <c r="AA326" s="1">
        <v>697.58</v>
      </c>
      <c r="AB326" s="1">
        <v>270.03</v>
      </c>
      <c r="AC326" s="165">
        <f t="shared" si="120"/>
        <v>6446.28</v>
      </c>
      <c r="AD326" s="1">
        <v>0</v>
      </c>
      <c r="AE326" s="1">
        <v>427.55</v>
      </c>
      <c r="AF326" s="1"/>
      <c r="AG326" s="1">
        <v>2852.73</v>
      </c>
      <c r="AH326" s="1">
        <v>0</v>
      </c>
      <c r="AI326" s="94">
        <v>0</v>
      </c>
      <c r="AJ326" s="6">
        <f t="shared" si="121"/>
        <v>9726.56</v>
      </c>
      <c r="AK326" s="1"/>
      <c r="AL326" s="1"/>
      <c r="AM326" s="1"/>
      <c r="AN326" s="1"/>
      <c r="AO326" s="6">
        <f t="shared" si="122"/>
        <v>9726.56</v>
      </c>
      <c r="AP326" s="91">
        <f t="shared" si="123"/>
        <v>1641.8339960704798</v>
      </c>
      <c r="AQ326" s="10"/>
      <c r="AR326" s="10"/>
      <c r="AS326" s="34"/>
      <c r="AT326" s="116">
        <f t="shared" si="127"/>
        <v>1641.8339960704798</v>
      </c>
      <c r="AU326" s="134"/>
      <c r="AV326" s="116"/>
      <c r="AW326" s="116"/>
      <c r="AX326" s="116">
        <f>AT326+AU326-AV326</f>
        <v>1641.8339960704798</v>
      </c>
      <c r="AY326" s="134"/>
      <c r="AZ326" s="172">
        <f t="shared" si="95"/>
        <v>1641.8339960704798</v>
      </c>
      <c r="BA326" s="127">
        <v>86960.04</v>
      </c>
    </row>
    <row r="327" spans="1:53" ht="12.75">
      <c r="A327" s="1">
        <v>44</v>
      </c>
      <c r="B327" s="10" t="s">
        <v>319</v>
      </c>
      <c r="C327" s="1">
        <v>344.2</v>
      </c>
      <c r="D327" s="1">
        <v>0</v>
      </c>
      <c r="E327" s="7">
        <f t="shared" si="126"/>
        <v>344.2</v>
      </c>
      <c r="F327" s="5">
        <v>0</v>
      </c>
      <c r="G327" s="5">
        <v>2.8</v>
      </c>
      <c r="H327" s="5">
        <f t="shared" si="112"/>
        <v>2.8</v>
      </c>
      <c r="I327" s="28">
        <f t="shared" si="113"/>
        <v>5782.5599999999995</v>
      </c>
      <c r="J327" s="5">
        <f t="shared" si="114"/>
        <v>0</v>
      </c>
      <c r="K327" s="5">
        <f t="shared" si="115"/>
        <v>2.994659698799999</v>
      </c>
      <c r="L327" s="27">
        <f t="shared" si="116"/>
        <v>2.994659698799999</v>
      </c>
      <c r="M327" s="61">
        <f t="shared" si="117"/>
        <v>6184.5712099617585</v>
      </c>
      <c r="N327" s="34">
        <f t="shared" si="118"/>
        <v>11967.131209961757</v>
      </c>
      <c r="O327" s="34">
        <v>1211.09</v>
      </c>
      <c r="P327" s="34">
        <v>17940.57</v>
      </c>
      <c r="Q327" s="5">
        <f>N327-O327</f>
        <v>10756.041209961757</v>
      </c>
      <c r="R327" s="30">
        <f t="shared" si="106"/>
        <v>28696.611209961757</v>
      </c>
      <c r="S327" s="1">
        <v>938.76</v>
      </c>
      <c r="T327" s="1">
        <v>633.33</v>
      </c>
      <c r="U327" s="1">
        <v>633.33</v>
      </c>
      <c r="V327" s="1">
        <v>633.33</v>
      </c>
      <c r="W327" s="1">
        <v>633.33</v>
      </c>
      <c r="X327" s="1">
        <v>633.33</v>
      </c>
      <c r="Y327" s="1">
        <v>678.07</v>
      </c>
      <c r="Z327" s="1">
        <v>678.07</v>
      </c>
      <c r="AA327" s="1">
        <v>678.07</v>
      </c>
      <c r="AB327" s="1">
        <v>262.48</v>
      </c>
      <c r="AC327" s="165">
        <f t="shared" si="120"/>
        <v>6402.0999999999985</v>
      </c>
      <c r="AD327" s="1">
        <v>0</v>
      </c>
      <c r="AE327" s="1">
        <v>415.59</v>
      </c>
      <c r="AF327" s="1"/>
      <c r="AG327" s="1">
        <v>1236.31</v>
      </c>
      <c r="AH327" s="1">
        <v>0</v>
      </c>
      <c r="AI327" s="1">
        <v>678.07</v>
      </c>
      <c r="AJ327" s="6">
        <f t="shared" si="121"/>
        <v>8732.069999999998</v>
      </c>
      <c r="AK327" s="1"/>
      <c r="AL327" s="1"/>
      <c r="AM327" s="1"/>
      <c r="AN327" s="1"/>
      <c r="AO327" s="6">
        <f t="shared" si="122"/>
        <v>8732.069999999998</v>
      </c>
      <c r="AP327" s="91">
        <f t="shared" si="123"/>
        <v>19964.54120996176</v>
      </c>
      <c r="AQ327" s="10"/>
      <c r="AR327" s="10"/>
      <c r="AS327" s="34"/>
      <c r="AT327" s="116">
        <f t="shared" si="127"/>
        <v>19964.54120996176</v>
      </c>
      <c r="AU327" s="134"/>
      <c r="AV327" s="116"/>
      <c r="AW327" s="116"/>
      <c r="AX327" s="116">
        <f>AT327+AU327-AV327</f>
        <v>19964.54120996176</v>
      </c>
      <c r="AY327" s="134"/>
      <c r="AZ327" s="172">
        <f t="shared" si="95"/>
        <v>19964.54120996176</v>
      </c>
      <c r="BA327" s="127">
        <v>173333.2</v>
      </c>
    </row>
    <row r="328" spans="1:53" ht="12.75">
      <c r="A328" s="1">
        <v>45</v>
      </c>
      <c r="B328" s="117" t="s">
        <v>320</v>
      </c>
      <c r="C328" s="1">
        <v>348.8</v>
      </c>
      <c r="D328" s="1">
        <v>0</v>
      </c>
      <c r="E328" s="7">
        <f t="shared" si="126"/>
        <v>348.8</v>
      </c>
      <c r="F328" s="5">
        <v>0</v>
      </c>
      <c r="G328" s="5">
        <v>2.8</v>
      </c>
      <c r="H328" s="5">
        <f t="shared" si="112"/>
        <v>2.8</v>
      </c>
      <c r="I328" s="28">
        <f t="shared" si="113"/>
        <v>5859.84</v>
      </c>
      <c r="J328" s="5">
        <f t="shared" si="114"/>
        <v>0</v>
      </c>
      <c r="K328" s="5">
        <f t="shared" si="115"/>
        <v>2.994659698799999</v>
      </c>
      <c r="L328" s="27">
        <f t="shared" si="116"/>
        <v>2.994659698799999</v>
      </c>
      <c r="M328" s="61">
        <f t="shared" si="117"/>
        <v>6267.223817648639</v>
      </c>
      <c r="N328" s="34">
        <f t="shared" si="118"/>
        <v>12127.063817648639</v>
      </c>
      <c r="O328" s="34">
        <v>3524.52</v>
      </c>
      <c r="P328" s="34"/>
      <c r="Q328" s="5">
        <f t="shared" si="119"/>
        <v>8602.543817648639</v>
      </c>
      <c r="R328" s="30">
        <f t="shared" si="106"/>
        <v>8602.543817648639</v>
      </c>
      <c r="S328" s="1">
        <v>7374.45</v>
      </c>
      <c r="T328" s="1">
        <v>815.33</v>
      </c>
      <c r="U328" s="1">
        <v>641.06</v>
      </c>
      <c r="V328" s="1">
        <v>641.06</v>
      </c>
      <c r="W328" s="1">
        <v>641.06</v>
      </c>
      <c r="X328" s="1">
        <v>641.06</v>
      </c>
      <c r="Y328" s="1">
        <v>686.35</v>
      </c>
      <c r="Z328" s="1">
        <v>686.35</v>
      </c>
      <c r="AA328" s="1">
        <v>686.35</v>
      </c>
      <c r="AB328" s="1">
        <v>265.68</v>
      </c>
      <c r="AC328" s="165">
        <f t="shared" si="120"/>
        <v>13078.75</v>
      </c>
      <c r="AD328" s="1">
        <v>0</v>
      </c>
      <c r="AE328" s="1">
        <v>420.66</v>
      </c>
      <c r="AF328" s="1"/>
      <c r="AG328" s="1">
        <v>2841.5</v>
      </c>
      <c r="AH328" s="1">
        <v>0</v>
      </c>
      <c r="AI328" s="94">
        <v>0</v>
      </c>
      <c r="AJ328" s="6">
        <f t="shared" si="121"/>
        <v>16340.91</v>
      </c>
      <c r="AK328" s="1"/>
      <c r="AL328" s="1"/>
      <c r="AM328" s="1"/>
      <c r="AN328" s="1"/>
      <c r="AO328" s="6">
        <f t="shared" si="122"/>
        <v>16340.91</v>
      </c>
      <c r="AP328" s="136">
        <f t="shared" si="123"/>
        <v>-7738.366182351361</v>
      </c>
      <c r="AQ328" s="110"/>
      <c r="AR328" s="110"/>
      <c r="AS328" s="111"/>
      <c r="AT328" s="111">
        <f t="shared" si="127"/>
        <v>-7738.366182351361</v>
      </c>
      <c r="AU328" s="121"/>
      <c r="AV328" s="111"/>
      <c r="AW328" s="111"/>
      <c r="AX328" s="111"/>
      <c r="AY328" s="116"/>
      <c r="AZ328" s="172">
        <f t="shared" si="95"/>
        <v>0</v>
      </c>
      <c r="BA328" s="130">
        <v>28250.39</v>
      </c>
    </row>
    <row r="329" spans="1:53" ht="12.75">
      <c r="A329" s="1">
        <v>46</v>
      </c>
      <c r="B329" s="10" t="s">
        <v>100</v>
      </c>
      <c r="C329" s="6">
        <v>522.6</v>
      </c>
      <c r="D329" s="6">
        <v>0</v>
      </c>
      <c r="E329" s="25">
        <f t="shared" si="126"/>
        <v>522.6</v>
      </c>
      <c r="F329" s="5">
        <v>0</v>
      </c>
      <c r="G329" s="5">
        <v>2.8</v>
      </c>
      <c r="H329" s="5">
        <f t="shared" si="112"/>
        <v>2.8</v>
      </c>
      <c r="I329" s="28">
        <f t="shared" si="113"/>
        <v>8779.68</v>
      </c>
      <c r="J329" s="5">
        <f t="shared" si="114"/>
        <v>0</v>
      </c>
      <c r="K329" s="5">
        <f t="shared" si="115"/>
        <v>2.994659698799999</v>
      </c>
      <c r="L329" s="27">
        <f t="shared" si="116"/>
        <v>2.994659698799999</v>
      </c>
      <c r="M329" s="61">
        <f t="shared" si="117"/>
        <v>9390.054951557278</v>
      </c>
      <c r="N329" s="34">
        <f t="shared" si="118"/>
        <v>18169.73495155728</v>
      </c>
      <c r="O329" s="34">
        <v>16218.65</v>
      </c>
      <c r="P329" s="34"/>
      <c r="Q329" s="5">
        <f t="shared" si="119"/>
        <v>1951.084951557279</v>
      </c>
      <c r="R329" s="30">
        <v>11539.01</v>
      </c>
      <c r="S329" s="1">
        <v>1267.01</v>
      </c>
      <c r="T329" s="1">
        <v>1135.85</v>
      </c>
      <c r="U329" s="1">
        <v>961.58</v>
      </c>
      <c r="V329" s="1">
        <v>961.58</v>
      </c>
      <c r="W329" s="1">
        <v>961.58</v>
      </c>
      <c r="X329" s="1">
        <v>961.58</v>
      </c>
      <c r="Y329" s="1">
        <v>1029.52</v>
      </c>
      <c r="Z329" s="1">
        <v>1029.52</v>
      </c>
      <c r="AA329" s="1">
        <v>1029.52</v>
      </c>
      <c r="AB329" s="1">
        <v>398.52</v>
      </c>
      <c r="AC329" s="165">
        <f t="shared" si="120"/>
        <v>9736.26</v>
      </c>
      <c r="AD329" s="1">
        <v>0</v>
      </c>
      <c r="AE329" s="1">
        <v>631</v>
      </c>
      <c r="AF329" s="1"/>
      <c r="AG329" s="1">
        <v>2460.39</v>
      </c>
      <c r="AH329" s="1">
        <v>0</v>
      </c>
      <c r="AI329" s="1">
        <v>1783.56</v>
      </c>
      <c r="AJ329" s="6">
        <f t="shared" si="121"/>
        <v>14611.21</v>
      </c>
      <c r="AK329" s="1"/>
      <c r="AL329" s="1"/>
      <c r="AM329" s="1"/>
      <c r="AN329" s="1"/>
      <c r="AO329" s="6">
        <f t="shared" si="122"/>
        <v>14611.21</v>
      </c>
      <c r="AP329" s="136">
        <f t="shared" si="123"/>
        <v>-3072.199999999999</v>
      </c>
      <c r="AQ329" s="110"/>
      <c r="AR329" s="110"/>
      <c r="AS329" s="111"/>
      <c r="AT329" s="111">
        <f t="shared" si="127"/>
        <v>-3072.199999999999</v>
      </c>
      <c r="AU329" s="121"/>
      <c r="AV329" s="111"/>
      <c r="AW329" s="111"/>
      <c r="AX329" s="111"/>
      <c r="AY329" s="116"/>
      <c r="AZ329" s="172">
        <f t="shared" si="95"/>
        <v>0</v>
      </c>
      <c r="BA329" s="130">
        <v>71782.27</v>
      </c>
    </row>
    <row r="330" spans="1:53" ht="12.75">
      <c r="A330" s="1">
        <v>47</v>
      </c>
      <c r="B330" s="10" t="s">
        <v>321</v>
      </c>
      <c r="C330" s="1">
        <v>359.5</v>
      </c>
      <c r="D330" s="1">
        <v>0</v>
      </c>
      <c r="E330" s="7">
        <f t="shared" si="126"/>
        <v>359.5</v>
      </c>
      <c r="F330" s="5">
        <v>0</v>
      </c>
      <c r="G330" s="5">
        <v>2.8</v>
      </c>
      <c r="H330" s="5">
        <f t="shared" si="112"/>
        <v>2.8</v>
      </c>
      <c r="I330" s="28">
        <f t="shared" si="113"/>
        <v>6039.599999999999</v>
      </c>
      <c r="J330" s="5">
        <f t="shared" si="114"/>
        <v>0</v>
      </c>
      <c r="K330" s="5">
        <f t="shared" si="115"/>
        <v>2.994659698799999</v>
      </c>
      <c r="L330" s="27">
        <f t="shared" si="116"/>
        <v>2.994659698799999</v>
      </c>
      <c r="M330" s="61">
        <f t="shared" si="117"/>
        <v>6459.480970311599</v>
      </c>
      <c r="N330" s="34">
        <f t="shared" si="118"/>
        <v>12499.0809703116</v>
      </c>
      <c r="O330" s="34">
        <v>1297.62</v>
      </c>
      <c r="P330" s="34"/>
      <c r="Q330" s="5">
        <f t="shared" si="119"/>
        <v>11201.4609703116</v>
      </c>
      <c r="R330" s="30">
        <f t="shared" si="106"/>
        <v>11201.4609703116</v>
      </c>
      <c r="S330" s="1">
        <v>966.91</v>
      </c>
      <c r="T330" s="1">
        <v>661.48</v>
      </c>
      <c r="U330" s="1">
        <v>661.48</v>
      </c>
      <c r="V330" s="1">
        <v>661.48</v>
      </c>
      <c r="W330" s="1">
        <v>661.48</v>
      </c>
      <c r="X330" s="1">
        <v>661.48</v>
      </c>
      <c r="Y330" s="1">
        <v>708.22</v>
      </c>
      <c r="Z330" s="1">
        <v>708.22</v>
      </c>
      <c r="AA330" s="1">
        <v>708.22</v>
      </c>
      <c r="AB330" s="1">
        <v>274.15</v>
      </c>
      <c r="AC330" s="165">
        <f t="shared" si="120"/>
        <v>6673.12</v>
      </c>
      <c r="AD330" s="1">
        <v>0</v>
      </c>
      <c r="AE330" s="1">
        <v>434.07</v>
      </c>
      <c r="AF330" s="1"/>
      <c r="AG330" s="1">
        <v>1266.46</v>
      </c>
      <c r="AH330" s="1">
        <v>0</v>
      </c>
      <c r="AI330" s="1">
        <v>708.22</v>
      </c>
      <c r="AJ330" s="6">
        <f t="shared" si="121"/>
        <v>9081.869999999999</v>
      </c>
      <c r="AK330" s="1"/>
      <c r="AL330" s="1"/>
      <c r="AM330" s="1"/>
      <c r="AN330" s="1"/>
      <c r="AO330" s="6">
        <f t="shared" si="122"/>
        <v>9081.869999999999</v>
      </c>
      <c r="AP330" s="91">
        <f t="shared" si="123"/>
        <v>2119.5909703116013</v>
      </c>
      <c r="AQ330" s="10"/>
      <c r="AR330" s="10"/>
      <c r="AS330" s="34"/>
      <c r="AT330" s="116">
        <f t="shared" si="127"/>
        <v>2119.5909703116013</v>
      </c>
      <c r="AU330" s="134"/>
      <c r="AV330" s="116"/>
      <c r="AW330" s="116"/>
      <c r="AX330" s="116">
        <f>AT330+AU330-AV330</f>
        <v>2119.5909703116013</v>
      </c>
      <c r="AY330" s="134"/>
      <c r="AZ330" s="172">
        <f t="shared" si="95"/>
        <v>2119.5909703116013</v>
      </c>
      <c r="BA330" s="127">
        <v>128303.09</v>
      </c>
    </row>
    <row r="331" spans="1:53" ht="12.75">
      <c r="A331" s="1">
        <v>48</v>
      </c>
      <c r="B331" s="117" t="s">
        <v>322</v>
      </c>
      <c r="C331" s="1">
        <v>350.8</v>
      </c>
      <c r="D331" s="1">
        <v>0</v>
      </c>
      <c r="E331" s="7">
        <f t="shared" si="126"/>
        <v>350.8</v>
      </c>
      <c r="F331" s="5">
        <v>0</v>
      </c>
      <c r="G331" s="5">
        <v>2.8</v>
      </c>
      <c r="H331" s="5">
        <f t="shared" si="112"/>
        <v>2.8</v>
      </c>
      <c r="I331" s="28">
        <f t="shared" si="113"/>
        <v>5893.4400000000005</v>
      </c>
      <c r="J331" s="5">
        <f t="shared" si="114"/>
        <v>0</v>
      </c>
      <c r="K331" s="5">
        <f t="shared" si="115"/>
        <v>2.994659698799999</v>
      </c>
      <c r="L331" s="27">
        <f t="shared" si="116"/>
        <v>2.994659698799999</v>
      </c>
      <c r="M331" s="61">
        <f t="shared" si="117"/>
        <v>6303.159734034238</v>
      </c>
      <c r="N331" s="34">
        <f t="shared" si="118"/>
        <v>12196.599734034238</v>
      </c>
      <c r="O331" s="34">
        <v>7720.67</v>
      </c>
      <c r="P331" s="34"/>
      <c r="Q331" s="5">
        <f t="shared" si="119"/>
        <v>4475.929734034238</v>
      </c>
      <c r="R331" s="30">
        <v>7745.66</v>
      </c>
      <c r="S331" s="1">
        <v>645.47</v>
      </c>
      <c r="T331" s="1">
        <v>819.74</v>
      </c>
      <c r="U331" s="1">
        <v>645.47</v>
      </c>
      <c r="V331" s="1">
        <v>645.47</v>
      </c>
      <c r="W331" s="1">
        <v>645.47</v>
      </c>
      <c r="X331" s="1">
        <v>645.47</v>
      </c>
      <c r="Y331" s="1">
        <v>691.08</v>
      </c>
      <c r="Z331" s="1">
        <v>691.08</v>
      </c>
      <c r="AA331" s="1">
        <v>691.08</v>
      </c>
      <c r="AB331" s="1">
        <v>267.51</v>
      </c>
      <c r="AC331" s="165">
        <f t="shared" si="120"/>
        <v>6387.840000000001</v>
      </c>
      <c r="AD331" s="1">
        <v>0</v>
      </c>
      <c r="AE331" s="1">
        <v>423.56</v>
      </c>
      <c r="AF331" s="1"/>
      <c r="AG331" s="1">
        <v>2846.23</v>
      </c>
      <c r="AH331" s="1">
        <v>0</v>
      </c>
      <c r="AI331" s="94">
        <v>0</v>
      </c>
      <c r="AJ331" s="6">
        <f t="shared" si="121"/>
        <v>9657.630000000001</v>
      </c>
      <c r="AK331" s="1"/>
      <c r="AL331" s="1"/>
      <c r="AM331" s="1"/>
      <c r="AN331" s="1"/>
      <c r="AO331" s="6">
        <f t="shared" si="122"/>
        <v>9657.630000000001</v>
      </c>
      <c r="AP331" s="136">
        <f t="shared" si="123"/>
        <v>-1911.9700000000012</v>
      </c>
      <c r="AQ331" s="110"/>
      <c r="AR331" s="110"/>
      <c r="AS331" s="111"/>
      <c r="AT331" s="111">
        <f t="shared" si="127"/>
        <v>-1911.9700000000012</v>
      </c>
      <c r="AU331" s="121"/>
      <c r="AV331" s="111"/>
      <c r="AW331" s="111"/>
      <c r="AX331" s="111"/>
      <c r="AY331" s="116"/>
      <c r="AZ331" s="172">
        <f t="shared" si="95"/>
        <v>0</v>
      </c>
      <c r="BA331" s="130">
        <v>70407.65</v>
      </c>
    </row>
    <row r="332" spans="1:53" ht="12.75">
      <c r="A332" s="1">
        <v>49</v>
      </c>
      <c r="B332" s="10" t="s">
        <v>101</v>
      </c>
      <c r="C332" s="6">
        <v>510.3</v>
      </c>
      <c r="D332" s="6">
        <v>0</v>
      </c>
      <c r="E332" s="25">
        <f t="shared" si="126"/>
        <v>510.3</v>
      </c>
      <c r="F332" s="5">
        <v>0</v>
      </c>
      <c r="G332" s="5">
        <v>2.8</v>
      </c>
      <c r="H332" s="5">
        <f t="shared" si="112"/>
        <v>2.8</v>
      </c>
      <c r="I332" s="28">
        <f t="shared" si="113"/>
        <v>8573.039999999999</v>
      </c>
      <c r="J332" s="5">
        <f t="shared" si="114"/>
        <v>0</v>
      </c>
      <c r="K332" s="5">
        <f t="shared" si="115"/>
        <v>2.994659698799999</v>
      </c>
      <c r="L332" s="27">
        <f t="shared" si="116"/>
        <v>2.994659698799999</v>
      </c>
      <c r="M332" s="61">
        <f t="shared" si="117"/>
        <v>9169.049065785837</v>
      </c>
      <c r="N332" s="34">
        <f t="shared" si="118"/>
        <v>17742.089065785836</v>
      </c>
      <c r="O332" s="34">
        <v>8290.52</v>
      </c>
      <c r="P332" s="34">
        <v>18965.24</v>
      </c>
      <c r="Q332" s="5">
        <f t="shared" si="119"/>
        <v>9451.569065785836</v>
      </c>
      <c r="R332" s="30">
        <f t="shared" si="106"/>
        <v>28416.809065785837</v>
      </c>
      <c r="S332" s="1">
        <v>1244.38</v>
      </c>
      <c r="T332" s="1">
        <v>1113.22</v>
      </c>
      <c r="U332" s="1">
        <v>938.95</v>
      </c>
      <c r="V332" s="1">
        <v>938.95</v>
      </c>
      <c r="W332" s="1">
        <v>938.95</v>
      </c>
      <c r="X332" s="1">
        <v>938.95</v>
      </c>
      <c r="Y332" s="1">
        <v>1005.29</v>
      </c>
      <c r="Z332" s="1">
        <v>1005.29</v>
      </c>
      <c r="AA332" s="1">
        <v>1005.29</v>
      </c>
      <c r="AB332" s="1">
        <v>389.14</v>
      </c>
      <c r="AC332" s="165">
        <f t="shared" si="120"/>
        <v>9518.41</v>
      </c>
      <c r="AD332" s="1">
        <v>0</v>
      </c>
      <c r="AE332" s="1">
        <v>616.15</v>
      </c>
      <c r="AF332" s="1"/>
      <c r="AG332" s="1">
        <v>5419.5</v>
      </c>
      <c r="AH332" s="1">
        <v>0</v>
      </c>
      <c r="AI332" s="1">
        <v>1759.33</v>
      </c>
      <c r="AJ332" s="6">
        <f t="shared" si="121"/>
        <v>17313.39</v>
      </c>
      <c r="AK332" s="1"/>
      <c r="AL332" s="1"/>
      <c r="AM332" s="1"/>
      <c r="AN332" s="1"/>
      <c r="AO332" s="6">
        <f t="shared" si="122"/>
        <v>17313.39</v>
      </c>
      <c r="AP332" s="91">
        <f t="shared" si="123"/>
        <v>11103.419065785838</v>
      </c>
      <c r="AQ332" s="10"/>
      <c r="AR332" s="10"/>
      <c r="AS332" s="34"/>
      <c r="AT332" s="116">
        <f t="shared" si="127"/>
        <v>11103.419065785838</v>
      </c>
      <c r="AU332" s="116"/>
      <c r="AV332" s="116"/>
      <c r="AW332" s="116"/>
      <c r="AX332" s="116">
        <f aca="true" t="shared" si="128" ref="AX332:AX340">AT332+AU332-AV332</f>
        <v>11103.419065785838</v>
      </c>
      <c r="AY332" s="116"/>
      <c r="AZ332" s="172">
        <f t="shared" si="95"/>
        <v>11103.419065785838</v>
      </c>
      <c r="BA332" s="130">
        <v>164286.72</v>
      </c>
    </row>
    <row r="333" spans="1:53" ht="12.75">
      <c r="A333" s="1">
        <v>50</v>
      </c>
      <c r="B333" s="10" t="s">
        <v>323</v>
      </c>
      <c r="C333" s="1">
        <v>360.9</v>
      </c>
      <c r="D333" s="1">
        <v>0</v>
      </c>
      <c r="E333" s="7">
        <f t="shared" si="126"/>
        <v>360.9</v>
      </c>
      <c r="F333" s="5">
        <v>0</v>
      </c>
      <c r="G333" s="5">
        <v>2.8</v>
      </c>
      <c r="H333" s="5">
        <f t="shared" si="112"/>
        <v>2.8</v>
      </c>
      <c r="I333" s="28">
        <f t="shared" si="113"/>
        <v>6063.119999999999</v>
      </c>
      <c r="J333" s="5">
        <f t="shared" si="114"/>
        <v>0</v>
      </c>
      <c r="K333" s="5">
        <f t="shared" si="115"/>
        <v>2.994659698799999</v>
      </c>
      <c r="L333" s="27">
        <f t="shared" si="116"/>
        <v>2.994659698799999</v>
      </c>
      <c r="M333" s="61">
        <f t="shared" si="117"/>
        <v>6484.636111781518</v>
      </c>
      <c r="N333" s="34">
        <f t="shared" si="118"/>
        <v>12547.756111781517</v>
      </c>
      <c r="O333" s="34">
        <v>120.24</v>
      </c>
      <c r="P333" s="34"/>
      <c r="Q333" s="5">
        <f t="shared" si="119"/>
        <v>12427.516111781517</v>
      </c>
      <c r="R333" s="30">
        <f t="shared" si="106"/>
        <v>12427.516111781517</v>
      </c>
      <c r="S333" s="1">
        <v>969.49</v>
      </c>
      <c r="T333" s="1">
        <v>664.06</v>
      </c>
      <c r="U333" s="1">
        <v>664.06</v>
      </c>
      <c r="V333" s="1">
        <v>664.06</v>
      </c>
      <c r="W333" s="1">
        <v>664.06</v>
      </c>
      <c r="X333" s="1">
        <v>664.06</v>
      </c>
      <c r="Y333" s="1">
        <v>710.97</v>
      </c>
      <c r="Z333" s="1">
        <v>710.97</v>
      </c>
      <c r="AA333" s="1">
        <v>710.97</v>
      </c>
      <c r="AB333" s="1">
        <v>275.22</v>
      </c>
      <c r="AC333" s="165">
        <f t="shared" si="120"/>
        <v>6697.92</v>
      </c>
      <c r="AD333" s="1">
        <v>0</v>
      </c>
      <c r="AE333" s="1">
        <v>435.76</v>
      </c>
      <c r="AF333" s="1"/>
      <c r="AG333" s="1">
        <v>1705.52</v>
      </c>
      <c r="AH333" s="1">
        <v>0</v>
      </c>
      <c r="AI333" s="1">
        <v>2340.01</v>
      </c>
      <c r="AJ333" s="6">
        <f t="shared" si="121"/>
        <v>11179.210000000001</v>
      </c>
      <c r="AK333" s="1"/>
      <c r="AL333" s="1"/>
      <c r="AM333" s="1"/>
      <c r="AN333" s="1"/>
      <c r="AO333" s="6">
        <f t="shared" si="122"/>
        <v>11179.210000000001</v>
      </c>
      <c r="AP333" s="91">
        <f t="shared" si="123"/>
        <v>1248.306111781516</v>
      </c>
      <c r="AQ333" s="10"/>
      <c r="AR333" s="10"/>
      <c r="AS333" s="34"/>
      <c r="AT333" s="116">
        <f t="shared" si="127"/>
        <v>1248.306111781516</v>
      </c>
      <c r="AU333" s="116"/>
      <c r="AV333" s="116"/>
      <c r="AW333" s="116"/>
      <c r="AX333" s="116">
        <f t="shared" si="128"/>
        <v>1248.306111781516</v>
      </c>
      <c r="AY333" s="116"/>
      <c r="AZ333" s="172">
        <f aca="true" t="shared" si="129" ref="AZ333:AZ385">AX333-AY333</f>
        <v>1248.306111781516</v>
      </c>
      <c r="BA333" s="130">
        <v>56390.68</v>
      </c>
    </row>
    <row r="334" spans="1:53" ht="12.75">
      <c r="A334" s="1">
        <v>51</v>
      </c>
      <c r="B334" s="117" t="s">
        <v>460</v>
      </c>
      <c r="C334" s="1">
        <v>538.4</v>
      </c>
      <c r="D334" s="1">
        <v>0</v>
      </c>
      <c r="E334" s="7">
        <f t="shared" si="126"/>
        <v>538.4</v>
      </c>
      <c r="F334" s="5">
        <v>0</v>
      </c>
      <c r="G334" s="5">
        <v>1.84</v>
      </c>
      <c r="H334" s="5">
        <f t="shared" si="112"/>
        <v>1.84</v>
      </c>
      <c r="I334" s="28">
        <f>E334*H334*3</f>
        <v>2971.968</v>
      </c>
      <c r="J334" s="5">
        <f t="shared" si="114"/>
        <v>0</v>
      </c>
      <c r="K334" s="5">
        <f t="shared" si="115"/>
        <v>1.9679192306399997</v>
      </c>
      <c r="L334" s="27">
        <f t="shared" si="116"/>
        <v>1.9679192306399997</v>
      </c>
      <c r="M334" s="61">
        <f>L334*E334*0</f>
        <v>0</v>
      </c>
      <c r="N334" s="34">
        <f t="shared" si="118"/>
        <v>2971.968</v>
      </c>
      <c r="O334" s="34">
        <v>0.02</v>
      </c>
      <c r="P334" s="34"/>
      <c r="Q334" s="5">
        <f t="shared" si="119"/>
        <v>2971.948</v>
      </c>
      <c r="R334" s="30">
        <f t="shared" si="106"/>
        <v>2971.948</v>
      </c>
      <c r="S334" s="1">
        <v>990.66</v>
      </c>
      <c r="T334" s="1">
        <v>990.66</v>
      </c>
      <c r="U334" s="1">
        <v>990.66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65">
        <f t="shared" si="120"/>
        <v>2971.98</v>
      </c>
      <c r="AD334" s="1">
        <v>0</v>
      </c>
      <c r="AE334" s="1">
        <v>0</v>
      </c>
      <c r="AF334" s="1"/>
      <c r="AG334" s="1">
        <v>0</v>
      </c>
      <c r="AH334" s="1">
        <v>0</v>
      </c>
      <c r="AI334" s="1">
        <v>0</v>
      </c>
      <c r="AJ334" s="6">
        <f t="shared" si="121"/>
        <v>2971.98</v>
      </c>
      <c r="AK334" s="1"/>
      <c r="AL334" s="1"/>
      <c r="AM334" s="1"/>
      <c r="AN334" s="1"/>
      <c r="AO334" s="6">
        <f t="shared" si="122"/>
        <v>2971.98</v>
      </c>
      <c r="AP334" s="91">
        <f t="shared" si="123"/>
        <v>-0.032000000000152795</v>
      </c>
      <c r="AQ334" s="10"/>
      <c r="AR334" s="10"/>
      <c r="AS334" s="34"/>
      <c r="AT334" s="116">
        <f t="shared" si="127"/>
        <v>-0.032000000000152795</v>
      </c>
      <c r="AU334" s="116"/>
      <c r="AV334" s="116"/>
      <c r="AW334" s="116"/>
      <c r="AX334" s="116">
        <f t="shared" si="128"/>
        <v>-0.032000000000152795</v>
      </c>
      <c r="AY334" s="116"/>
      <c r="AZ334" s="172">
        <f t="shared" si="129"/>
        <v>-0.032000000000152795</v>
      </c>
      <c r="BA334" s="116"/>
    </row>
    <row r="335" spans="1:53" ht="12.75">
      <c r="A335" s="1">
        <v>52</v>
      </c>
      <c r="B335" s="128" t="s">
        <v>324</v>
      </c>
      <c r="C335" s="1">
        <v>389.9</v>
      </c>
      <c r="D335" s="1">
        <v>0</v>
      </c>
      <c r="E335" s="7">
        <f t="shared" si="126"/>
        <v>389.9</v>
      </c>
      <c r="F335" s="5">
        <v>0</v>
      </c>
      <c r="G335" s="5">
        <v>2.8</v>
      </c>
      <c r="H335" s="5">
        <f t="shared" si="112"/>
        <v>2.8</v>
      </c>
      <c r="I335" s="28">
        <f t="shared" si="113"/>
        <v>6550.319999999999</v>
      </c>
      <c r="J335" s="5">
        <f t="shared" si="114"/>
        <v>0</v>
      </c>
      <c r="K335" s="5">
        <f t="shared" si="115"/>
        <v>2.994659698799999</v>
      </c>
      <c r="L335" s="27">
        <f t="shared" si="116"/>
        <v>2.994659698799999</v>
      </c>
      <c r="M335" s="61">
        <f t="shared" si="117"/>
        <v>7005.706899372717</v>
      </c>
      <c r="N335" s="34">
        <f t="shared" si="118"/>
        <v>13556.026899372715</v>
      </c>
      <c r="O335" s="34">
        <v>1895.61</v>
      </c>
      <c r="P335" s="34"/>
      <c r="Q335" s="5">
        <f t="shared" si="119"/>
        <v>11660.416899372714</v>
      </c>
      <c r="R335" s="30">
        <f t="shared" si="106"/>
        <v>11660.416899372714</v>
      </c>
      <c r="S335" s="1">
        <v>717.42</v>
      </c>
      <c r="T335" s="1">
        <v>891.69</v>
      </c>
      <c r="U335" s="1">
        <v>717.42</v>
      </c>
      <c r="V335" s="1">
        <v>717.42</v>
      </c>
      <c r="W335" s="1">
        <v>717.42</v>
      </c>
      <c r="X335" s="1">
        <v>717.42</v>
      </c>
      <c r="Y335" s="1">
        <v>768.1</v>
      </c>
      <c r="Z335" s="1">
        <v>768.1</v>
      </c>
      <c r="AA335" s="1">
        <v>768.1</v>
      </c>
      <c r="AB335" s="1">
        <v>297.33</v>
      </c>
      <c r="AC335" s="165">
        <f t="shared" si="120"/>
        <v>7080.420000000001</v>
      </c>
      <c r="AD335" s="1">
        <v>0</v>
      </c>
      <c r="AE335" s="1">
        <v>470.77</v>
      </c>
      <c r="AF335" s="1"/>
      <c r="AG335" s="1">
        <v>1762.65</v>
      </c>
      <c r="AH335" s="1">
        <v>0</v>
      </c>
      <c r="AI335" s="1">
        <v>1643.1</v>
      </c>
      <c r="AJ335" s="6">
        <f t="shared" si="121"/>
        <v>10956.94</v>
      </c>
      <c r="AK335" s="1"/>
      <c r="AL335" s="1"/>
      <c r="AM335" s="1"/>
      <c r="AN335" s="1"/>
      <c r="AO335" s="6">
        <f t="shared" si="122"/>
        <v>10956.94</v>
      </c>
      <c r="AP335" s="91">
        <f t="shared" si="123"/>
        <v>703.4768993727139</v>
      </c>
      <c r="AQ335" s="10"/>
      <c r="AR335" s="10"/>
      <c r="AS335" s="34"/>
      <c r="AT335" s="116">
        <f t="shared" si="127"/>
        <v>703.4768993727139</v>
      </c>
      <c r="AU335" s="116"/>
      <c r="AV335" s="116"/>
      <c r="AW335" s="116"/>
      <c r="AX335" s="116">
        <f t="shared" si="128"/>
        <v>703.4768993727139</v>
      </c>
      <c r="AY335" s="116"/>
      <c r="AZ335" s="172">
        <f t="shared" si="129"/>
        <v>703.4768993727139</v>
      </c>
      <c r="BA335" s="130">
        <v>128103.58</v>
      </c>
    </row>
    <row r="336" spans="1:53" ht="12.75">
      <c r="A336" s="1">
        <v>53</v>
      </c>
      <c r="B336" s="117" t="s">
        <v>472</v>
      </c>
      <c r="C336" s="1">
        <v>387.1</v>
      </c>
      <c r="D336" s="1">
        <v>0</v>
      </c>
      <c r="E336" s="7">
        <f t="shared" si="126"/>
        <v>387.1</v>
      </c>
      <c r="F336" s="5">
        <v>0</v>
      </c>
      <c r="G336" s="5">
        <v>2.8</v>
      </c>
      <c r="H336" s="5">
        <f t="shared" si="112"/>
        <v>2.8</v>
      </c>
      <c r="I336" s="28">
        <f t="shared" si="113"/>
        <v>6503.279999999999</v>
      </c>
      <c r="J336" s="5">
        <f t="shared" si="114"/>
        <v>0</v>
      </c>
      <c r="K336" s="5">
        <f t="shared" si="115"/>
        <v>2.994659698799999</v>
      </c>
      <c r="L336" s="27">
        <f t="shared" si="116"/>
        <v>2.994659698799999</v>
      </c>
      <c r="M336" s="61">
        <f t="shared" si="117"/>
        <v>6955.396616432879</v>
      </c>
      <c r="N336" s="34">
        <f t="shared" si="118"/>
        <v>13458.676616432876</v>
      </c>
      <c r="O336" s="34">
        <v>3333.41</v>
      </c>
      <c r="P336" s="34"/>
      <c r="Q336" s="5">
        <f t="shared" si="119"/>
        <v>10125.266616432877</v>
      </c>
      <c r="R336" s="30">
        <f t="shared" si="106"/>
        <v>10125.266616432877</v>
      </c>
      <c r="S336" s="1">
        <v>712.08</v>
      </c>
      <c r="T336" s="1">
        <v>886.35</v>
      </c>
      <c r="U336" s="1">
        <v>712.08</v>
      </c>
      <c r="V336" s="1">
        <v>712.08</v>
      </c>
      <c r="W336" s="1">
        <v>712.08</v>
      </c>
      <c r="X336" s="1">
        <v>712.08</v>
      </c>
      <c r="Y336" s="1">
        <v>762.39</v>
      </c>
      <c r="Z336" s="1">
        <v>762.39</v>
      </c>
      <c r="AA336" s="1">
        <v>762.39</v>
      </c>
      <c r="AB336" s="1">
        <v>295.12</v>
      </c>
      <c r="AC336" s="165">
        <f t="shared" si="120"/>
        <v>7029.040000000001</v>
      </c>
      <c r="AD336" s="1">
        <v>0</v>
      </c>
      <c r="AE336" s="1">
        <v>467.27</v>
      </c>
      <c r="AF336" s="1"/>
      <c r="AG336" s="1">
        <v>1756.94</v>
      </c>
      <c r="AH336" s="1">
        <v>0</v>
      </c>
      <c r="AI336" s="94">
        <v>0</v>
      </c>
      <c r="AJ336" s="6">
        <f t="shared" si="121"/>
        <v>9253.250000000002</v>
      </c>
      <c r="AK336" s="1"/>
      <c r="AL336" s="1"/>
      <c r="AM336" s="1"/>
      <c r="AN336" s="1"/>
      <c r="AO336" s="6">
        <f t="shared" si="122"/>
        <v>9253.250000000002</v>
      </c>
      <c r="AP336" s="91">
        <f t="shared" si="123"/>
        <v>872.0166164328748</v>
      </c>
      <c r="AQ336" s="10"/>
      <c r="AR336" s="10"/>
      <c r="AS336" s="34"/>
      <c r="AT336" s="116">
        <f t="shared" si="127"/>
        <v>872.0166164328748</v>
      </c>
      <c r="AU336" s="116"/>
      <c r="AV336" s="116"/>
      <c r="AW336" s="116"/>
      <c r="AX336" s="116">
        <f t="shared" si="128"/>
        <v>872.0166164328748</v>
      </c>
      <c r="AY336" s="116"/>
      <c r="AZ336" s="172">
        <f t="shared" si="129"/>
        <v>872.0166164328748</v>
      </c>
      <c r="BA336" s="130">
        <v>108168.27</v>
      </c>
    </row>
    <row r="337" spans="1:53" ht="12.75">
      <c r="A337" s="1">
        <v>54</v>
      </c>
      <c r="B337" s="10" t="s">
        <v>325</v>
      </c>
      <c r="C337" s="1">
        <v>383.6</v>
      </c>
      <c r="D337" s="1">
        <v>0</v>
      </c>
      <c r="E337" s="7">
        <f t="shared" si="126"/>
        <v>383.6</v>
      </c>
      <c r="F337" s="5">
        <v>0</v>
      </c>
      <c r="G337" s="5">
        <v>2.8</v>
      </c>
      <c r="H337" s="5">
        <f t="shared" si="112"/>
        <v>2.8</v>
      </c>
      <c r="I337" s="28">
        <f t="shared" si="113"/>
        <v>6444.48</v>
      </c>
      <c r="J337" s="5">
        <f t="shared" si="114"/>
        <v>0</v>
      </c>
      <c r="K337" s="5">
        <f t="shared" si="115"/>
        <v>2.994659698799999</v>
      </c>
      <c r="L337" s="27">
        <f t="shared" si="116"/>
        <v>2.994659698799999</v>
      </c>
      <c r="M337" s="61">
        <f t="shared" si="117"/>
        <v>6892.508762758078</v>
      </c>
      <c r="N337" s="34">
        <f t="shared" si="118"/>
        <v>13336.988762758077</v>
      </c>
      <c r="O337" s="34">
        <v>2886.1</v>
      </c>
      <c r="P337" s="34"/>
      <c r="Q337" s="5">
        <f t="shared" si="119"/>
        <v>10450.888762758077</v>
      </c>
      <c r="R337" s="30">
        <f aca="true" t="shared" si="130" ref="R337:R385">Q337+P337</f>
        <v>10450.888762758077</v>
      </c>
      <c r="S337" s="1">
        <v>705.82</v>
      </c>
      <c r="T337" s="1">
        <v>880.09</v>
      </c>
      <c r="U337" s="1">
        <v>705.82</v>
      </c>
      <c r="V337" s="1">
        <v>705.82</v>
      </c>
      <c r="W337" s="1">
        <v>705.82</v>
      </c>
      <c r="X337" s="1">
        <v>705.82</v>
      </c>
      <c r="Y337" s="1">
        <v>755.69</v>
      </c>
      <c r="Z337" s="1">
        <v>755.69</v>
      </c>
      <c r="AA337" s="1">
        <v>755.69</v>
      </c>
      <c r="AB337" s="1">
        <v>292.53</v>
      </c>
      <c r="AC337" s="165">
        <f t="shared" si="120"/>
        <v>6968.790000000002</v>
      </c>
      <c r="AD337" s="1">
        <v>0</v>
      </c>
      <c r="AE337" s="1">
        <v>960.57</v>
      </c>
      <c r="AF337" s="1"/>
      <c r="AG337" s="1">
        <v>1750.24</v>
      </c>
      <c r="AH337" s="1">
        <v>0</v>
      </c>
      <c r="AI337" s="1">
        <v>755.69</v>
      </c>
      <c r="AJ337" s="6">
        <f t="shared" si="121"/>
        <v>10435.290000000003</v>
      </c>
      <c r="AK337" s="1"/>
      <c r="AL337" s="1"/>
      <c r="AM337" s="1"/>
      <c r="AN337" s="1"/>
      <c r="AO337" s="6">
        <f t="shared" si="122"/>
        <v>10435.290000000003</v>
      </c>
      <c r="AP337" s="91">
        <f t="shared" si="123"/>
        <v>15.598762758074372</v>
      </c>
      <c r="AQ337" s="10"/>
      <c r="AR337" s="10"/>
      <c r="AS337" s="34"/>
      <c r="AT337" s="116">
        <f t="shared" si="127"/>
        <v>15.598762758074372</v>
      </c>
      <c r="AU337" s="116"/>
      <c r="AV337" s="116"/>
      <c r="AW337" s="116"/>
      <c r="AX337" s="116">
        <f t="shared" si="128"/>
        <v>15.598762758074372</v>
      </c>
      <c r="AY337" s="116"/>
      <c r="AZ337" s="172">
        <f t="shared" si="129"/>
        <v>15.598762758074372</v>
      </c>
      <c r="BA337" s="130">
        <v>180209.35</v>
      </c>
    </row>
    <row r="338" spans="1:53" ht="12.75">
      <c r="A338" s="1">
        <v>55</v>
      </c>
      <c r="B338" s="84" t="s">
        <v>120</v>
      </c>
      <c r="C338" s="6">
        <v>521.5</v>
      </c>
      <c r="D338" s="6">
        <v>0</v>
      </c>
      <c r="E338" s="25">
        <f t="shared" si="126"/>
        <v>521.5</v>
      </c>
      <c r="F338" s="5">
        <v>2.9</v>
      </c>
      <c r="G338" s="5">
        <v>3.37</v>
      </c>
      <c r="H338" s="5">
        <f t="shared" si="112"/>
        <v>6.27</v>
      </c>
      <c r="I338" s="28">
        <f t="shared" si="113"/>
        <v>19618.829999999998</v>
      </c>
      <c r="J338" s="5">
        <v>3.1</v>
      </c>
      <c r="K338" s="5">
        <v>3.61</v>
      </c>
      <c r="L338" s="27">
        <f t="shared" si="116"/>
        <v>6.71</v>
      </c>
      <c r="M338" s="61">
        <f>L338*E338*5</f>
        <v>17496.325</v>
      </c>
      <c r="N338" s="34">
        <f t="shared" si="118"/>
        <v>37115.155</v>
      </c>
      <c r="O338" s="34">
        <v>15944.78</v>
      </c>
      <c r="P338" s="34">
        <v>3760.18</v>
      </c>
      <c r="Q338" s="5">
        <f t="shared" si="119"/>
        <v>21170.375</v>
      </c>
      <c r="R338" s="30">
        <f t="shared" si="130"/>
        <v>24930.555</v>
      </c>
      <c r="S338" s="1">
        <v>959.56</v>
      </c>
      <c r="T338" s="1">
        <v>8204.29</v>
      </c>
      <c r="U338" s="1">
        <v>959.56</v>
      </c>
      <c r="V338" s="1">
        <v>959.56</v>
      </c>
      <c r="W338" s="1">
        <v>959.56</v>
      </c>
      <c r="X338" s="1">
        <v>959.56</v>
      </c>
      <c r="Y338" s="1">
        <v>1027.36</v>
      </c>
      <c r="Z338" s="1">
        <v>1027.36</v>
      </c>
      <c r="AA338" s="1">
        <v>1027.36</v>
      </c>
      <c r="AB338" s="1">
        <v>397.69</v>
      </c>
      <c r="AC338" s="165">
        <f t="shared" si="120"/>
        <v>16481.86</v>
      </c>
      <c r="AD338" s="1">
        <v>0</v>
      </c>
      <c r="AE338" s="1">
        <v>629.67</v>
      </c>
      <c r="AF338" s="1">
        <v>0</v>
      </c>
      <c r="AG338" s="1">
        <v>1027.36</v>
      </c>
      <c r="AH338" s="1">
        <v>715.5</v>
      </c>
      <c r="AI338" s="1">
        <v>1027.36</v>
      </c>
      <c r="AJ338" s="6">
        <f t="shared" si="121"/>
        <v>19881.75</v>
      </c>
      <c r="AK338" s="1"/>
      <c r="AL338" s="1"/>
      <c r="AM338" s="1"/>
      <c r="AN338" s="1"/>
      <c r="AO338" s="6">
        <f t="shared" si="122"/>
        <v>19881.75</v>
      </c>
      <c r="AP338" s="91">
        <f t="shared" si="123"/>
        <v>5048.805</v>
      </c>
      <c r="AQ338" s="10"/>
      <c r="AR338" s="10"/>
      <c r="AS338" s="34"/>
      <c r="AT338" s="34">
        <f t="shared" si="127"/>
        <v>5048.805</v>
      </c>
      <c r="AU338" s="116"/>
      <c r="AV338" s="34"/>
      <c r="AW338" s="116"/>
      <c r="AX338" s="116">
        <f t="shared" si="128"/>
        <v>5048.805</v>
      </c>
      <c r="AY338" s="116"/>
      <c r="AZ338" s="172">
        <f t="shared" si="129"/>
        <v>5048.805</v>
      </c>
      <c r="BA338" s="130">
        <v>97153.49</v>
      </c>
    </row>
    <row r="339" spans="1:53" ht="12.75">
      <c r="A339" s="1">
        <v>56</v>
      </c>
      <c r="B339" s="84" t="s">
        <v>121</v>
      </c>
      <c r="C339" s="6">
        <v>502.3</v>
      </c>
      <c r="D339" s="6">
        <v>0</v>
      </c>
      <c r="E339" s="25">
        <f t="shared" si="126"/>
        <v>502.3</v>
      </c>
      <c r="F339" s="5">
        <v>0</v>
      </c>
      <c r="G339" s="5">
        <v>2.8</v>
      </c>
      <c r="H339" s="5">
        <f t="shared" si="112"/>
        <v>2.8</v>
      </c>
      <c r="I339" s="28">
        <f t="shared" si="113"/>
        <v>8438.64</v>
      </c>
      <c r="J339" s="5">
        <f t="shared" si="114"/>
        <v>0</v>
      </c>
      <c r="K339" s="5">
        <f t="shared" si="115"/>
        <v>2.994659698799999</v>
      </c>
      <c r="L339" s="27">
        <f t="shared" si="116"/>
        <v>2.994659698799999</v>
      </c>
      <c r="M339" s="61">
        <f t="shared" si="117"/>
        <v>9025.305400243438</v>
      </c>
      <c r="N339" s="34">
        <f t="shared" si="118"/>
        <v>17463.945400243436</v>
      </c>
      <c r="O339" s="34"/>
      <c r="P339" s="34"/>
      <c r="Q339" s="5">
        <f t="shared" si="119"/>
        <v>17463.945400243436</v>
      </c>
      <c r="R339" s="30">
        <f t="shared" si="130"/>
        <v>17463.945400243436</v>
      </c>
      <c r="S339" s="1">
        <v>917.98</v>
      </c>
      <c r="T339" s="1">
        <v>917.98</v>
      </c>
      <c r="U339" s="1">
        <v>917.98</v>
      </c>
      <c r="V339" s="1">
        <v>917.98</v>
      </c>
      <c r="W339" s="1">
        <v>917.98</v>
      </c>
      <c r="X339" s="1">
        <v>917.98</v>
      </c>
      <c r="Y339" s="1">
        <v>982.83</v>
      </c>
      <c r="Z339" s="1">
        <v>982.83</v>
      </c>
      <c r="AA339" s="1">
        <v>982.83</v>
      </c>
      <c r="AB339" s="1">
        <v>380.45</v>
      </c>
      <c r="AC339" s="165">
        <f t="shared" si="120"/>
        <v>8836.82</v>
      </c>
      <c r="AD339" s="1">
        <v>0</v>
      </c>
      <c r="AE339" s="1">
        <v>602.38</v>
      </c>
      <c r="AF339" s="1">
        <v>0</v>
      </c>
      <c r="AG339" s="1">
        <v>982.83</v>
      </c>
      <c r="AH339" s="1">
        <v>715.5</v>
      </c>
      <c r="AI339" s="1">
        <v>982.83</v>
      </c>
      <c r="AJ339" s="6">
        <f t="shared" si="121"/>
        <v>12120.359999999999</v>
      </c>
      <c r="AK339" s="1"/>
      <c r="AL339" s="1"/>
      <c r="AM339" s="1"/>
      <c r="AN339" s="1"/>
      <c r="AO339" s="6">
        <f t="shared" si="122"/>
        <v>12120.359999999999</v>
      </c>
      <c r="AP339" s="91">
        <f t="shared" si="123"/>
        <v>5343.585400243437</v>
      </c>
      <c r="AQ339" s="10"/>
      <c r="AR339" s="10"/>
      <c r="AS339" s="34"/>
      <c r="AT339" s="116">
        <f t="shared" si="127"/>
        <v>5343.585400243437</v>
      </c>
      <c r="AU339" s="116"/>
      <c r="AV339" s="116"/>
      <c r="AW339" s="116"/>
      <c r="AX339" s="116">
        <f t="shared" si="128"/>
        <v>5343.585400243437</v>
      </c>
      <c r="AY339" s="116"/>
      <c r="AZ339" s="172">
        <f t="shared" si="129"/>
        <v>5343.585400243437</v>
      </c>
      <c r="BA339" s="130">
        <v>66103.11</v>
      </c>
    </row>
    <row r="340" spans="1:53" ht="12.75">
      <c r="A340" s="1">
        <v>57</v>
      </c>
      <c r="B340" s="84" t="s">
        <v>326</v>
      </c>
      <c r="C340" s="1">
        <v>405</v>
      </c>
      <c r="D340" s="1">
        <v>0</v>
      </c>
      <c r="E340" s="7">
        <f t="shared" si="126"/>
        <v>405</v>
      </c>
      <c r="F340" s="5">
        <v>0</v>
      </c>
      <c r="G340" s="5">
        <v>2.8</v>
      </c>
      <c r="H340" s="5">
        <f t="shared" si="112"/>
        <v>2.8</v>
      </c>
      <c r="I340" s="28">
        <f t="shared" si="113"/>
        <v>6804</v>
      </c>
      <c r="J340" s="5">
        <f t="shared" si="114"/>
        <v>0</v>
      </c>
      <c r="K340" s="5">
        <f t="shared" si="115"/>
        <v>2.994659698799999</v>
      </c>
      <c r="L340" s="27">
        <f t="shared" si="116"/>
        <v>2.994659698799999</v>
      </c>
      <c r="M340" s="61">
        <f t="shared" si="117"/>
        <v>7277.023068083998</v>
      </c>
      <c r="N340" s="34">
        <f t="shared" si="118"/>
        <v>14081.023068083998</v>
      </c>
      <c r="O340" s="34"/>
      <c r="P340" s="34"/>
      <c r="Q340" s="5">
        <f t="shared" si="119"/>
        <v>14081.023068083998</v>
      </c>
      <c r="R340" s="30">
        <f t="shared" si="130"/>
        <v>14081.023068083998</v>
      </c>
      <c r="S340" s="1">
        <v>913.16</v>
      </c>
      <c r="T340" s="1">
        <v>913.16</v>
      </c>
      <c r="U340" s="1">
        <v>745.2</v>
      </c>
      <c r="V340" s="1">
        <v>745.2</v>
      </c>
      <c r="W340" s="1">
        <v>745.2</v>
      </c>
      <c r="X340" s="1">
        <v>745.2</v>
      </c>
      <c r="Y340" s="1">
        <v>797.85</v>
      </c>
      <c r="Z340" s="1">
        <v>797.85</v>
      </c>
      <c r="AA340" s="1">
        <v>797.85</v>
      </c>
      <c r="AB340" s="1">
        <v>308.85</v>
      </c>
      <c r="AC340" s="165">
        <f t="shared" si="120"/>
        <v>7509.520000000001</v>
      </c>
      <c r="AD340" s="1">
        <v>1945.58</v>
      </c>
      <c r="AE340" s="1">
        <v>489</v>
      </c>
      <c r="AF340" s="1">
        <v>2168.28</v>
      </c>
      <c r="AG340" s="1">
        <v>797.85</v>
      </c>
      <c r="AH340" s="1">
        <v>0</v>
      </c>
      <c r="AI340" s="1">
        <v>797.85</v>
      </c>
      <c r="AJ340" s="6">
        <f t="shared" si="121"/>
        <v>13708.080000000004</v>
      </c>
      <c r="AK340" s="1"/>
      <c r="AL340" s="1"/>
      <c r="AM340" s="1"/>
      <c r="AN340" s="1"/>
      <c r="AO340" s="6">
        <f t="shared" si="122"/>
        <v>13708.080000000004</v>
      </c>
      <c r="AP340" s="91">
        <f t="shared" si="123"/>
        <v>372.94306808399415</v>
      </c>
      <c r="AQ340" s="10"/>
      <c r="AR340" s="10"/>
      <c r="AS340" s="34"/>
      <c r="AT340" s="116">
        <f t="shared" si="127"/>
        <v>372.94306808399415</v>
      </c>
      <c r="AU340" s="116"/>
      <c r="AV340" s="116"/>
      <c r="AW340" s="116"/>
      <c r="AX340" s="116">
        <f t="shared" si="128"/>
        <v>372.94306808399415</v>
      </c>
      <c r="AY340" s="116"/>
      <c r="AZ340" s="172">
        <f t="shared" si="129"/>
        <v>372.94306808399415</v>
      </c>
      <c r="BA340" s="130">
        <v>157648.14</v>
      </c>
    </row>
    <row r="341" spans="1:53" ht="12.75">
      <c r="A341" s="1">
        <v>58</v>
      </c>
      <c r="B341" s="84" t="s">
        <v>327</v>
      </c>
      <c r="C341" s="1">
        <v>146.7</v>
      </c>
      <c r="D341" s="1">
        <v>0</v>
      </c>
      <c r="E341" s="7">
        <f t="shared" si="126"/>
        <v>146.7</v>
      </c>
      <c r="F341" s="5">
        <v>0</v>
      </c>
      <c r="G341" s="5">
        <v>1.84</v>
      </c>
      <c r="H341" s="5">
        <f t="shared" si="112"/>
        <v>1.84</v>
      </c>
      <c r="I341" s="28">
        <f t="shared" si="113"/>
        <v>1619.568</v>
      </c>
      <c r="J341" s="5">
        <f t="shared" si="114"/>
        <v>0</v>
      </c>
      <c r="K341" s="5">
        <f t="shared" si="115"/>
        <v>1.9679192306399997</v>
      </c>
      <c r="L341" s="27">
        <f t="shared" si="116"/>
        <v>1.9679192306399997</v>
      </c>
      <c r="M341" s="61">
        <f t="shared" si="117"/>
        <v>1732.1625068093276</v>
      </c>
      <c r="N341" s="34">
        <f t="shared" si="118"/>
        <v>3351.7305068093274</v>
      </c>
      <c r="O341" s="34">
        <v>0.03</v>
      </c>
      <c r="P341" s="34"/>
      <c r="Q341" s="5">
        <f t="shared" si="119"/>
        <v>3351.700506809327</v>
      </c>
      <c r="R341" s="30">
        <f t="shared" si="130"/>
        <v>3351.700506809327</v>
      </c>
      <c r="S341" s="1">
        <v>269.93</v>
      </c>
      <c r="T341" s="1">
        <v>269.93</v>
      </c>
      <c r="U341" s="1">
        <v>269.93</v>
      </c>
      <c r="V341" s="1">
        <v>269.93</v>
      </c>
      <c r="W341" s="1">
        <v>269.93</v>
      </c>
      <c r="X341" s="1">
        <v>269.93</v>
      </c>
      <c r="Y341" s="1">
        <v>289</v>
      </c>
      <c r="Z341" s="1">
        <v>289</v>
      </c>
      <c r="AA341" s="1">
        <v>289</v>
      </c>
      <c r="AB341" s="1">
        <v>111.87</v>
      </c>
      <c r="AC341" s="165">
        <f t="shared" si="120"/>
        <v>2598.45</v>
      </c>
      <c r="AD341" s="1">
        <v>0</v>
      </c>
      <c r="AE341" s="1">
        <v>177.13</v>
      </c>
      <c r="AF341" s="1">
        <v>0</v>
      </c>
      <c r="AG341" s="1">
        <v>289</v>
      </c>
      <c r="AH341" s="1">
        <v>0</v>
      </c>
      <c r="AI341" s="1">
        <v>289</v>
      </c>
      <c r="AJ341" s="6">
        <f t="shared" si="121"/>
        <v>3353.58</v>
      </c>
      <c r="AK341" s="1"/>
      <c r="AL341" s="1"/>
      <c r="AM341" s="1"/>
      <c r="AN341" s="1"/>
      <c r="AO341" s="6">
        <f t="shared" si="122"/>
        <v>3353.58</v>
      </c>
      <c r="AP341" s="136">
        <f t="shared" si="123"/>
        <v>-1.879493190672747</v>
      </c>
      <c r="AQ341" s="110"/>
      <c r="AR341" s="110"/>
      <c r="AS341" s="111"/>
      <c r="AT341" s="111">
        <f t="shared" si="127"/>
        <v>-1.879493190672747</v>
      </c>
      <c r="AU341" s="121"/>
      <c r="AV341" s="111"/>
      <c r="AW341" s="111"/>
      <c r="AX341" s="111"/>
      <c r="AY341" s="116"/>
      <c r="AZ341" s="172">
        <f t="shared" si="129"/>
        <v>0</v>
      </c>
      <c r="BA341" s="130">
        <v>37648.39</v>
      </c>
    </row>
    <row r="342" spans="1:53" ht="12.75">
      <c r="A342" s="1">
        <v>59</v>
      </c>
      <c r="B342" s="10" t="s">
        <v>328</v>
      </c>
      <c r="C342" s="1">
        <v>329.1</v>
      </c>
      <c r="D342" s="1">
        <v>0</v>
      </c>
      <c r="E342" s="7">
        <f t="shared" si="126"/>
        <v>329.1</v>
      </c>
      <c r="F342" s="5">
        <v>0</v>
      </c>
      <c r="G342" s="5">
        <v>1.84</v>
      </c>
      <c r="H342" s="5">
        <f t="shared" si="112"/>
        <v>1.84</v>
      </c>
      <c r="I342" s="28">
        <f t="shared" si="113"/>
        <v>3633.2640000000006</v>
      </c>
      <c r="J342" s="5">
        <f t="shared" si="114"/>
        <v>0</v>
      </c>
      <c r="K342" s="5">
        <f t="shared" si="115"/>
        <v>1.9679192306399997</v>
      </c>
      <c r="L342" s="27">
        <f t="shared" si="116"/>
        <v>1.9679192306399997</v>
      </c>
      <c r="M342" s="61">
        <f t="shared" si="117"/>
        <v>3885.853312821743</v>
      </c>
      <c r="N342" s="34">
        <f t="shared" si="118"/>
        <v>7519.117312821743</v>
      </c>
      <c r="O342" s="34">
        <v>0.02</v>
      </c>
      <c r="P342" s="34"/>
      <c r="Q342" s="5">
        <f t="shared" si="119"/>
        <v>7519.097312821743</v>
      </c>
      <c r="R342" s="30">
        <f t="shared" si="130"/>
        <v>7519.097312821743</v>
      </c>
      <c r="S342" s="1">
        <v>607.94</v>
      </c>
      <c r="T342" s="1">
        <v>607.94</v>
      </c>
      <c r="U342" s="1">
        <v>607.94</v>
      </c>
      <c r="V342" s="1">
        <v>607.94</v>
      </c>
      <c r="W342" s="1">
        <v>607.94</v>
      </c>
      <c r="X342" s="1">
        <v>607.94</v>
      </c>
      <c r="Y342" s="1">
        <v>650.89</v>
      </c>
      <c r="Z342" s="1">
        <v>650.89</v>
      </c>
      <c r="AA342" s="1">
        <v>650.89</v>
      </c>
      <c r="AB342" s="1">
        <v>251.96</v>
      </c>
      <c r="AC342" s="165">
        <f t="shared" si="120"/>
        <v>5852.270000000001</v>
      </c>
      <c r="AD342" s="1">
        <v>0</v>
      </c>
      <c r="AE342" s="1">
        <v>398.93</v>
      </c>
      <c r="AF342" s="1"/>
      <c r="AG342" s="1">
        <v>650.89</v>
      </c>
      <c r="AH342" s="1">
        <v>0</v>
      </c>
      <c r="AI342" s="1">
        <v>650.89</v>
      </c>
      <c r="AJ342" s="6">
        <f t="shared" si="121"/>
        <v>7552.980000000002</v>
      </c>
      <c r="AK342" s="1"/>
      <c r="AL342" s="1"/>
      <c r="AM342" s="1"/>
      <c r="AN342" s="1"/>
      <c r="AO342" s="6">
        <f t="shared" si="122"/>
        <v>7552.980000000002</v>
      </c>
      <c r="AP342" s="136">
        <f t="shared" si="123"/>
        <v>-33.8826871782594</v>
      </c>
      <c r="AQ342" s="110"/>
      <c r="AR342" s="110"/>
      <c r="AS342" s="111"/>
      <c r="AT342" s="111">
        <f t="shared" si="127"/>
        <v>-33.8826871782594</v>
      </c>
      <c r="AU342" s="121"/>
      <c r="AV342" s="111"/>
      <c r="AW342" s="111"/>
      <c r="AX342" s="111"/>
      <c r="AY342" s="116"/>
      <c r="AZ342" s="172">
        <f t="shared" si="129"/>
        <v>0</v>
      </c>
      <c r="BA342" s="130">
        <v>8374.11</v>
      </c>
    </row>
    <row r="343" spans="1:53" ht="12.75">
      <c r="A343" s="1">
        <v>60</v>
      </c>
      <c r="B343" s="10" t="s">
        <v>329</v>
      </c>
      <c r="C343" s="1">
        <v>506.5</v>
      </c>
      <c r="D343" s="1">
        <v>0</v>
      </c>
      <c r="E343" s="7">
        <f t="shared" si="126"/>
        <v>506.5</v>
      </c>
      <c r="F343" s="5">
        <v>0</v>
      </c>
      <c r="G343" s="5">
        <v>1.84</v>
      </c>
      <c r="H343" s="5">
        <f t="shared" si="112"/>
        <v>1.84</v>
      </c>
      <c r="I343" s="28">
        <f t="shared" si="113"/>
        <v>5591.76</v>
      </c>
      <c r="J343" s="5">
        <f t="shared" si="114"/>
        <v>0</v>
      </c>
      <c r="K343" s="5">
        <f t="shared" si="115"/>
        <v>1.9679192306399997</v>
      </c>
      <c r="L343" s="27">
        <f t="shared" si="116"/>
        <v>1.9679192306399997</v>
      </c>
      <c r="M343" s="61">
        <f t="shared" si="117"/>
        <v>5980.50654191496</v>
      </c>
      <c r="N343" s="34">
        <f t="shared" si="118"/>
        <v>11572.26654191496</v>
      </c>
      <c r="O343" s="34">
        <v>0.02</v>
      </c>
      <c r="P343" s="34"/>
      <c r="Q343" s="5">
        <f t="shared" si="119"/>
        <v>11572.24654191496</v>
      </c>
      <c r="R343" s="30">
        <f t="shared" si="130"/>
        <v>11572.24654191496</v>
      </c>
      <c r="S343" s="1">
        <v>931.96</v>
      </c>
      <c r="T343" s="1">
        <v>931.96</v>
      </c>
      <c r="U343" s="1">
        <v>931.96</v>
      </c>
      <c r="V343" s="1">
        <v>931.96</v>
      </c>
      <c r="W343" s="1">
        <v>931.96</v>
      </c>
      <c r="X343" s="1">
        <v>931.96</v>
      </c>
      <c r="Y343" s="1">
        <v>997.81</v>
      </c>
      <c r="Z343" s="1">
        <v>997.81</v>
      </c>
      <c r="AA343" s="1">
        <v>997.81</v>
      </c>
      <c r="AB343" s="1">
        <v>386.25</v>
      </c>
      <c r="AC343" s="165">
        <f t="shared" si="120"/>
        <v>8971.439999999999</v>
      </c>
      <c r="AD343" s="1">
        <v>0</v>
      </c>
      <c r="AE343" s="1">
        <v>611.56</v>
      </c>
      <c r="AF343" s="1"/>
      <c r="AG343" s="1">
        <v>997.81</v>
      </c>
      <c r="AH343" s="1">
        <v>0</v>
      </c>
      <c r="AI343" s="1">
        <v>997.81</v>
      </c>
      <c r="AJ343" s="6">
        <f t="shared" si="121"/>
        <v>11578.619999999997</v>
      </c>
      <c r="AK343" s="1"/>
      <c r="AL343" s="1"/>
      <c r="AM343" s="1"/>
      <c r="AN343" s="1"/>
      <c r="AO343" s="6">
        <f t="shared" si="122"/>
        <v>11578.619999999997</v>
      </c>
      <c r="AP343" s="136">
        <f t="shared" si="123"/>
        <v>-6.373458085037782</v>
      </c>
      <c r="AQ343" s="110"/>
      <c r="AR343" s="110"/>
      <c r="AS343" s="111"/>
      <c r="AT343" s="111">
        <f t="shared" si="127"/>
        <v>-6.373458085037782</v>
      </c>
      <c r="AU343" s="121"/>
      <c r="AV343" s="111"/>
      <c r="AW343" s="111"/>
      <c r="AX343" s="111"/>
      <c r="AY343" s="116"/>
      <c r="AZ343" s="172">
        <f t="shared" si="129"/>
        <v>0</v>
      </c>
      <c r="BA343" s="130">
        <v>335023.17</v>
      </c>
    </row>
    <row r="344" spans="1:53" ht="12.75">
      <c r="A344" s="1">
        <v>61</v>
      </c>
      <c r="B344" s="10" t="s">
        <v>330</v>
      </c>
      <c r="C344" s="1">
        <v>529.1</v>
      </c>
      <c r="D344" s="1">
        <v>0</v>
      </c>
      <c r="E344" s="7">
        <f t="shared" si="126"/>
        <v>529.1</v>
      </c>
      <c r="F344" s="5">
        <v>0</v>
      </c>
      <c r="G344" s="5">
        <v>1.84</v>
      </c>
      <c r="H344" s="5">
        <f t="shared" si="112"/>
        <v>1.84</v>
      </c>
      <c r="I344" s="28">
        <f t="shared" si="113"/>
        <v>5841.264000000001</v>
      </c>
      <c r="J344" s="5">
        <f t="shared" si="114"/>
        <v>0</v>
      </c>
      <c r="K344" s="5">
        <f t="shared" si="115"/>
        <v>1.9679192306399997</v>
      </c>
      <c r="L344" s="27">
        <f t="shared" si="116"/>
        <v>1.9679192306399997</v>
      </c>
      <c r="M344" s="61">
        <f t="shared" si="117"/>
        <v>6247.356389589742</v>
      </c>
      <c r="N344" s="34">
        <f t="shared" si="118"/>
        <v>12088.620389589743</v>
      </c>
      <c r="O344" s="34"/>
      <c r="P344" s="34"/>
      <c r="Q344" s="5">
        <f t="shared" si="119"/>
        <v>12088.620389589743</v>
      </c>
      <c r="R344" s="30">
        <f t="shared" si="130"/>
        <v>12088.620389589743</v>
      </c>
      <c r="S344" s="1">
        <v>973.54</v>
      </c>
      <c r="T344" s="1">
        <v>973.54</v>
      </c>
      <c r="U344" s="1">
        <v>973.54</v>
      </c>
      <c r="V344" s="1">
        <v>973.54</v>
      </c>
      <c r="W344" s="1">
        <v>973.54</v>
      </c>
      <c r="X344" s="1">
        <v>973.54</v>
      </c>
      <c r="Y344" s="1">
        <v>1042.33</v>
      </c>
      <c r="Z344" s="1">
        <v>1042.33</v>
      </c>
      <c r="AA344" s="1">
        <v>1042.33</v>
      </c>
      <c r="AB344" s="1">
        <v>403.48</v>
      </c>
      <c r="AC344" s="165">
        <f t="shared" si="120"/>
        <v>9371.71</v>
      </c>
      <c r="AD344" s="1">
        <v>0</v>
      </c>
      <c r="AE344" s="1">
        <v>638.85</v>
      </c>
      <c r="AF344" s="1"/>
      <c r="AG344" s="1">
        <v>1042.33</v>
      </c>
      <c r="AH344" s="1">
        <v>0</v>
      </c>
      <c r="AI344" s="1">
        <v>1042.33</v>
      </c>
      <c r="AJ344" s="6">
        <f t="shared" si="121"/>
        <v>12095.22</v>
      </c>
      <c r="AK344" s="1"/>
      <c r="AL344" s="1"/>
      <c r="AM344" s="1"/>
      <c r="AN344" s="1"/>
      <c r="AO344" s="6">
        <f t="shared" si="122"/>
        <v>12095.22</v>
      </c>
      <c r="AP344" s="136">
        <f t="shared" si="123"/>
        <v>-6.599610410255991</v>
      </c>
      <c r="AQ344" s="110"/>
      <c r="AR344" s="110"/>
      <c r="AS344" s="111"/>
      <c r="AT344" s="111">
        <f t="shared" si="127"/>
        <v>-6.599610410255991</v>
      </c>
      <c r="AU344" s="121"/>
      <c r="AV344" s="111"/>
      <c r="AW344" s="111"/>
      <c r="AX344" s="111"/>
      <c r="AY344" s="116"/>
      <c r="AZ344" s="172">
        <f t="shared" si="129"/>
        <v>0</v>
      </c>
      <c r="BA344" s="130">
        <v>202446.82</v>
      </c>
    </row>
    <row r="345" spans="1:53" ht="12.75">
      <c r="A345" s="1">
        <v>62</v>
      </c>
      <c r="B345" s="117" t="s">
        <v>331</v>
      </c>
      <c r="C345" s="1">
        <v>444.9</v>
      </c>
      <c r="D345" s="1">
        <v>0</v>
      </c>
      <c r="E345" s="7">
        <f t="shared" si="126"/>
        <v>444.9</v>
      </c>
      <c r="F345" s="5">
        <v>0</v>
      </c>
      <c r="G345" s="5">
        <v>1.84</v>
      </c>
      <c r="H345" s="5">
        <f t="shared" si="112"/>
        <v>1.84</v>
      </c>
      <c r="I345" s="28">
        <f t="shared" si="113"/>
        <v>4911.696</v>
      </c>
      <c r="J345" s="5">
        <f t="shared" si="114"/>
        <v>0</v>
      </c>
      <c r="K345" s="5">
        <f t="shared" si="115"/>
        <v>1.9679192306399997</v>
      </c>
      <c r="L345" s="27">
        <f t="shared" si="116"/>
        <v>1.9679192306399997</v>
      </c>
      <c r="M345" s="61">
        <f t="shared" si="117"/>
        <v>5253.163594270415</v>
      </c>
      <c r="N345" s="34">
        <f t="shared" si="118"/>
        <v>10164.859594270416</v>
      </c>
      <c r="O345" s="34">
        <v>0.04</v>
      </c>
      <c r="P345" s="34"/>
      <c r="Q345" s="5">
        <f t="shared" si="119"/>
        <v>10164.819594270415</v>
      </c>
      <c r="R345" s="30">
        <f t="shared" si="130"/>
        <v>10164.819594270415</v>
      </c>
      <c r="S345" s="1">
        <v>818.62</v>
      </c>
      <c r="T345" s="1">
        <v>818.62</v>
      </c>
      <c r="U345" s="1">
        <v>818.62</v>
      </c>
      <c r="V345" s="1">
        <v>818.62</v>
      </c>
      <c r="W345" s="1">
        <v>818.62</v>
      </c>
      <c r="X345" s="1">
        <v>818.62</v>
      </c>
      <c r="Y345" s="1">
        <v>876.45</v>
      </c>
      <c r="Z345" s="1">
        <v>876.45</v>
      </c>
      <c r="AA345" s="1">
        <v>876.45</v>
      </c>
      <c r="AB345" s="1">
        <v>339.27</v>
      </c>
      <c r="AC345" s="165">
        <f t="shared" si="120"/>
        <v>7880.34</v>
      </c>
      <c r="AD345" s="1">
        <v>0</v>
      </c>
      <c r="AE345" s="1">
        <v>537.18</v>
      </c>
      <c r="AF345" s="1"/>
      <c r="AG345" s="1">
        <v>876.45</v>
      </c>
      <c r="AH345" s="1">
        <v>0</v>
      </c>
      <c r="AI345" s="94">
        <v>0</v>
      </c>
      <c r="AJ345" s="6">
        <f t="shared" si="121"/>
        <v>9293.970000000001</v>
      </c>
      <c r="AK345" s="1"/>
      <c r="AL345" s="1"/>
      <c r="AM345" s="1"/>
      <c r="AN345" s="1"/>
      <c r="AO345" s="6">
        <f t="shared" si="122"/>
        <v>9293.970000000001</v>
      </c>
      <c r="AP345" s="136">
        <f t="shared" si="123"/>
        <v>870.849594270414</v>
      </c>
      <c r="AQ345" s="110"/>
      <c r="AR345" s="110"/>
      <c r="AS345" s="111"/>
      <c r="AT345" s="111">
        <f t="shared" si="127"/>
        <v>870.849594270414</v>
      </c>
      <c r="AU345" s="121"/>
      <c r="AV345" s="111"/>
      <c r="AW345" s="111"/>
      <c r="AX345" s="111"/>
      <c r="AY345" s="116"/>
      <c r="AZ345" s="172">
        <f t="shared" si="129"/>
        <v>0</v>
      </c>
      <c r="BA345" s="130">
        <v>161548.36</v>
      </c>
    </row>
    <row r="346" spans="1:53" ht="12.75">
      <c r="A346" s="1">
        <v>63</v>
      </c>
      <c r="B346" s="10" t="s">
        <v>332</v>
      </c>
      <c r="C346" s="1">
        <v>382</v>
      </c>
      <c r="D346" s="1">
        <v>0</v>
      </c>
      <c r="E346" s="7">
        <f t="shared" si="126"/>
        <v>382</v>
      </c>
      <c r="F346" s="5">
        <v>0</v>
      </c>
      <c r="G346" s="5">
        <v>2.8</v>
      </c>
      <c r="H346" s="5">
        <f t="shared" si="112"/>
        <v>2.8</v>
      </c>
      <c r="I346" s="28">
        <f t="shared" si="113"/>
        <v>6417.599999999999</v>
      </c>
      <c r="J346" s="5">
        <f t="shared" si="114"/>
        <v>0</v>
      </c>
      <c r="K346" s="5">
        <f t="shared" si="115"/>
        <v>2.994659698799999</v>
      </c>
      <c r="L346" s="27">
        <f t="shared" si="116"/>
        <v>2.994659698799999</v>
      </c>
      <c r="M346" s="61">
        <f t="shared" si="117"/>
        <v>6863.760029649598</v>
      </c>
      <c r="N346" s="34">
        <f t="shared" si="118"/>
        <v>13281.360029649597</v>
      </c>
      <c r="O346" s="34">
        <v>828.18</v>
      </c>
      <c r="P346" s="34">
        <v>10267.71</v>
      </c>
      <c r="Q346" s="5">
        <f t="shared" si="119"/>
        <v>12453.180029649597</v>
      </c>
      <c r="R346" s="30">
        <f t="shared" si="130"/>
        <v>22720.890029649596</v>
      </c>
      <c r="S346" s="1">
        <v>704.9</v>
      </c>
      <c r="T346" s="1">
        <v>704.9</v>
      </c>
      <c r="U346" s="1">
        <v>704.9</v>
      </c>
      <c r="V346" s="1">
        <v>704.9</v>
      </c>
      <c r="W346" s="1">
        <v>704.9</v>
      </c>
      <c r="X346" s="1">
        <v>704.9</v>
      </c>
      <c r="Y346" s="1">
        <v>754.71</v>
      </c>
      <c r="Z346" s="1">
        <v>754.71</v>
      </c>
      <c r="AA346" s="1">
        <v>754.71</v>
      </c>
      <c r="AB346" s="1">
        <v>292.14</v>
      </c>
      <c r="AC346" s="165">
        <f t="shared" si="120"/>
        <v>6785.67</v>
      </c>
      <c r="AD346" s="1">
        <v>0</v>
      </c>
      <c r="AE346" s="1">
        <v>462.56</v>
      </c>
      <c r="AF346" s="1"/>
      <c r="AG346" s="1">
        <v>1312.95</v>
      </c>
      <c r="AH346" s="1">
        <v>0</v>
      </c>
      <c r="AI346" s="1">
        <v>1754.71</v>
      </c>
      <c r="AJ346" s="6">
        <f t="shared" si="121"/>
        <v>10315.89</v>
      </c>
      <c r="AK346" s="1"/>
      <c r="AL346" s="1"/>
      <c r="AM346" s="1"/>
      <c r="AN346" s="1"/>
      <c r="AO346" s="6">
        <f t="shared" si="122"/>
        <v>10315.89</v>
      </c>
      <c r="AP346" s="91">
        <f t="shared" si="123"/>
        <v>12405.000029649596</v>
      </c>
      <c r="AQ346" s="10"/>
      <c r="AR346" s="10"/>
      <c r="AS346" s="34"/>
      <c r="AT346" s="116">
        <f t="shared" si="127"/>
        <v>12405.000029649596</v>
      </c>
      <c r="AU346" s="116"/>
      <c r="AV346" s="116"/>
      <c r="AW346" s="116"/>
      <c r="AX346" s="116">
        <f>AT346+AU346-AV346</f>
        <v>12405.000029649596</v>
      </c>
      <c r="AY346" s="116"/>
      <c r="AZ346" s="172">
        <f t="shared" si="129"/>
        <v>12405.000029649596</v>
      </c>
      <c r="BA346" s="130">
        <v>61344.26</v>
      </c>
    </row>
    <row r="347" spans="1:53" ht="12.75">
      <c r="A347" s="1">
        <v>64</v>
      </c>
      <c r="B347" s="10" t="s">
        <v>333</v>
      </c>
      <c r="C347" s="1">
        <v>539.9</v>
      </c>
      <c r="D347" s="1">
        <v>0</v>
      </c>
      <c r="E347" s="7">
        <f t="shared" si="126"/>
        <v>539.9</v>
      </c>
      <c r="F347" s="5">
        <v>0</v>
      </c>
      <c r="G347" s="5">
        <v>1.84</v>
      </c>
      <c r="H347" s="5">
        <f t="shared" si="112"/>
        <v>1.84</v>
      </c>
      <c r="I347" s="28">
        <f t="shared" si="113"/>
        <v>5960.496</v>
      </c>
      <c r="J347" s="5">
        <f t="shared" si="114"/>
        <v>0</v>
      </c>
      <c r="K347" s="5">
        <f t="shared" si="115"/>
        <v>1.9679192306399997</v>
      </c>
      <c r="L347" s="27">
        <f t="shared" si="116"/>
        <v>1.9679192306399997</v>
      </c>
      <c r="M347" s="61">
        <f t="shared" si="117"/>
        <v>6374.877555735215</v>
      </c>
      <c r="N347" s="34">
        <f t="shared" si="118"/>
        <v>12335.373555735216</v>
      </c>
      <c r="O347" s="34">
        <v>0.04</v>
      </c>
      <c r="P347" s="34"/>
      <c r="Q347" s="5">
        <f t="shared" si="119"/>
        <v>12335.333555735215</v>
      </c>
      <c r="R347" s="30">
        <f t="shared" si="130"/>
        <v>12335.333555735215</v>
      </c>
      <c r="S347" s="1">
        <v>993.42</v>
      </c>
      <c r="T347" s="1">
        <v>993.42</v>
      </c>
      <c r="U347" s="1">
        <v>993.42</v>
      </c>
      <c r="V347" s="1">
        <v>993.42</v>
      </c>
      <c r="W347" s="1">
        <v>993.42</v>
      </c>
      <c r="X347" s="1">
        <v>993.42</v>
      </c>
      <c r="Y347" s="1">
        <v>1063.6</v>
      </c>
      <c r="Z347" s="1">
        <v>993.42</v>
      </c>
      <c r="AA347" s="1">
        <v>993.42</v>
      </c>
      <c r="AB347" s="1">
        <v>384.55</v>
      </c>
      <c r="AC347" s="165">
        <f t="shared" si="120"/>
        <v>9395.509999999998</v>
      </c>
      <c r="AD347" s="1">
        <v>0</v>
      </c>
      <c r="AE347" s="1">
        <v>608.87</v>
      </c>
      <c r="AF347" s="1"/>
      <c r="AG347" s="1">
        <v>993.42</v>
      </c>
      <c r="AH347" s="1">
        <v>0</v>
      </c>
      <c r="AI347" s="1">
        <v>993.42</v>
      </c>
      <c r="AJ347" s="6">
        <f t="shared" si="121"/>
        <v>11991.22</v>
      </c>
      <c r="AK347" s="1"/>
      <c r="AL347" s="1"/>
      <c r="AM347" s="1"/>
      <c r="AN347" s="1"/>
      <c r="AO347" s="6">
        <f t="shared" si="122"/>
        <v>11991.22</v>
      </c>
      <c r="AP347" s="91">
        <f t="shared" si="123"/>
        <v>344.1135557352154</v>
      </c>
      <c r="AQ347" s="10"/>
      <c r="AR347" s="10"/>
      <c r="AS347" s="34"/>
      <c r="AT347" s="116">
        <f t="shared" si="127"/>
        <v>344.1135557352154</v>
      </c>
      <c r="AU347" s="116"/>
      <c r="AV347" s="116"/>
      <c r="AW347" s="116"/>
      <c r="AX347" s="116">
        <f>AT347+AU347-AV347</f>
        <v>344.1135557352154</v>
      </c>
      <c r="AY347" s="116"/>
      <c r="AZ347" s="172">
        <f t="shared" si="129"/>
        <v>344.1135557352154</v>
      </c>
      <c r="BA347" s="130">
        <v>224549.79</v>
      </c>
    </row>
    <row r="348" spans="1:53" ht="12.75">
      <c r="A348" s="1">
        <v>65</v>
      </c>
      <c r="B348" s="117" t="s">
        <v>461</v>
      </c>
      <c r="C348" s="1">
        <v>380.2</v>
      </c>
      <c r="D348" s="1">
        <v>0</v>
      </c>
      <c r="E348" s="7">
        <f t="shared" si="126"/>
        <v>380.2</v>
      </c>
      <c r="F348" s="5">
        <v>0</v>
      </c>
      <c r="G348" s="5">
        <v>2.8</v>
      </c>
      <c r="H348" s="5">
        <f t="shared" si="112"/>
        <v>2.8</v>
      </c>
      <c r="I348" s="28">
        <f>E348*H348*3</f>
        <v>3193.68</v>
      </c>
      <c r="J348" s="5">
        <f t="shared" si="114"/>
        <v>0</v>
      </c>
      <c r="K348" s="5">
        <f t="shared" si="115"/>
        <v>2.994659698799999</v>
      </c>
      <c r="L348" s="27">
        <f t="shared" si="116"/>
        <v>2.994659698799999</v>
      </c>
      <c r="M348" s="61">
        <v>0</v>
      </c>
      <c r="N348" s="34">
        <f t="shared" si="118"/>
        <v>3193.68</v>
      </c>
      <c r="O348" s="34"/>
      <c r="P348" s="34"/>
      <c r="Q348" s="5">
        <f t="shared" si="119"/>
        <v>3193.68</v>
      </c>
      <c r="R348" s="30">
        <f t="shared" si="130"/>
        <v>3193.68</v>
      </c>
      <c r="S348" s="1">
        <v>699.57</v>
      </c>
      <c r="T348" s="1">
        <v>699.57</v>
      </c>
      <c r="U348" s="1">
        <v>699.57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65">
        <f t="shared" si="120"/>
        <v>2098.71</v>
      </c>
      <c r="AD348" s="1">
        <v>0</v>
      </c>
      <c r="AE348" s="1">
        <v>0</v>
      </c>
      <c r="AF348" s="1"/>
      <c r="AG348" s="1">
        <v>0</v>
      </c>
      <c r="AH348" s="1">
        <v>0</v>
      </c>
      <c r="AI348" s="1">
        <v>0</v>
      </c>
      <c r="AJ348" s="6">
        <f t="shared" si="121"/>
        <v>2098.71</v>
      </c>
      <c r="AK348" s="1"/>
      <c r="AL348" s="1"/>
      <c r="AM348" s="1"/>
      <c r="AN348" s="1"/>
      <c r="AO348" s="6">
        <f t="shared" si="122"/>
        <v>2098.71</v>
      </c>
      <c r="AP348" s="91">
        <f t="shared" si="123"/>
        <v>1094.9699999999998</v>
      </c>
      <c r="AQ348" s="10"/>
      <c r="AR348" s="10"/>
      <c r="AS348" s="34"/>
      <c r="AT348" s="116"/>
      <c r="AU348" s="116"/>
      <c r="AV348" s="116"/>
      <c r="AW348" s="116"/>
      <c r="AX348" s="116">
        <f>AT348+AU348-AV348</f>
        <v>0</v>
      </c>
      <c r="AY348" s="116"/>
      <c r="AZ348" s="172">
        <f t="shared" si="129"/>
        <v>0</v>
      </c>
      <c r="BA348" s="116"/>
    </row>
    <row r="349" spans="1:53" ht="12.75">
      <c r="A349" s="1">
        <v>66</v>
      </c>
      <c r="B349" s="10" t="s">
        <v>334</v>
      </c>
      <c r="C349" s="1">
        <v>471.3</v>
      </c>
      <c r="D349" s="1">
        <v>0</v>
      </c>
      <c r="E349" s="7">
        <f t="shared" si="126"/>
        <v>471.3</v>
      </c>
      <c r="F349" s="5">
        <v>0</v>
      </c>
      <c r="G349" s="5">
        <v>1.84</v>
      </c>
      <c r="H349" s="5">
        <f t="shared" si="112"/>
        <v>1.84</v>
      </c>
      <c r="I349" s="28">
        <f t="shared" si="113"/>
        <v>5203.152</v>
      </c>
      <c r="J349" s="5">
        <f t="shared" si="114"/>
        <v>0</v>
      </c>
      <c r="K349" s="5">
        <f t="shared" si="115"/>
        <v>1.9679192306399997</v>
      </c>
      <c r="L349" s="27">
        <f t="shared" si="116"/>
        <v>1.9679192306399997</v>
      </c>
      <c r="M349" s="61">
        <f t="shared" si="117"/>
        <v>5564.882000403792</v>
      </c>
      <c r="N349" s="34">
        <f t="shared" si="118"/>
        <v>10768.034000403792</v>
      </c>
      <c r="O349" s="34">
        <v>22788.39</v>
      </c>
      <c r="P349" s="34"/>
      <c r="Q349" s="5">
        <f t="shared" si="119"/>
        <v>-12020.355999596208</v>
      </c>
      <c r="R349" s="30">
        <v>10406.3</v>
      </c>
      <c r="S349" s="1">
        <v>867.19</v>
      </c>
      <c r="T349" s="1">
        <v>867.19</v>
      </c>
      <c r="U349" s="1">
        <v>867.19</v>
      </c>
      <c r="V349" s="1">
        <v>867.19</v>
      </c>
      <c r="W349" s="1">
        <v>867.19</v>
      </c>
      <c r="X349" s="1">
        <v>867.19</v>
      </c>
      <c r="Y349" s="1">
        <v>928.46</v>
      </c>
      <c r="Z349" s="1">
        <v>928.46</v>
      </c>
      <c r="AA349" s="1">
        <v>928.46</v>
      </c>
      <c r="AB349" s="1">
        <v>359.4</v>
      </c>
      <c r="AC349" s="165">
        <f t="shared" si="120"/>
        <v>8347.920000000002</v>
      </c>
      <c r="AD349" s="1">
        <v>0</v>
      </c>
      <c r="AE349" s="1">
        <v>569.06</v>
      </c>
      <c r="AF349" s="1"/>
      <c r="AG349" s="1">
        <v>928.46</v>
      </c>
      <c r="AH349" s="1">
        <v>0</v>
      </c>
      <c r="AI349" s="1">
        <v>928.46</v>
      </c>
      <c r="AJ349" s="6">
        <f t="shared" si="121"/>
        <v>10773.900000000001</v>
      </c>
      <c r="AK349" s="1"/>
      <c r="AL349" s="1"/>
      <c r="AM349" s="1"/>
      <c r="AN349" s="1"/>
      <c r="AO349" s="6">
        <f t="shared" si="122"/>
        <v>10773.900000000001</v>
      </c>
      <c r="AP349" s="136">
        <f t="shared" si="123"/>
        <v>-367.6000000000022</v>
      </c>
      <c r="AQ349" s="110"/>
      <c r="AR349" s="110"/>
      <c r="AS349" s="111"/>
      <c r="AT349" s="111">
        <f t="shared" si="127"/>
        <v>-367.6000000000022</v>
      </c>
      <c r="AU349" s="121"/>
      <c r="AV349" s="111"/>
      <c r="AW349" s="111"/>
      <c r="AX349" s="111"/>
      <c r="AY349" s="116"/>
      <c r="AZ349" s="172">
        <f t="shared" si="129"/>
        <v>0</v>
      </c>
      <c r="BA349" s="130">
        <v>86690.86</v>
      </c>
    </row>
    <row r="350" spans="1:53" ht="12.75">
      <c r="A350" s="1">
        <v>67</v>
      </c>
      <c r="B350" s="10" t="s">
        <v>335</v>
      </c>
      <c r="C350" s="1">
        <v>508</v>
      </c>
      <c r="D350" s="1">
        <v>0</v>
      </c>
      <c r="E350" s="7">
        <f t="shared" si="126"/>
        <v>508</v>
      </c>
      <c r="F350" s="5">
        <v>0</v>
      </c>
      <c r="G350" s="5">
        <v>1.84</v>
      </c>
      <c r="H350" s="5">
        <f t="shared" si="112"/>
        <v>1.84</v>
      </c>
      <c r="I350" s="28">
        <f t="shared" si="113"/>
        <v>5608.32</v>
      </c>
      <c r="J350" s="5">
        <f t="shared" si="114"/>
        <v>0</v>
      </c>
      <c r="K350" s="5">
        <f t="shared" si="115"/>
        <v>1.9679192306399997</v>
      </c>
      <c r="L350" s="27">
        <f t="shared" si="116"/>
        <v>1.9679192306399997</v>
      </c>
      <c r="M350" s="61">
        <f t="shared" si="117"/>
        <v>5998.2178149907195</v>
      </c>
      <c r="N350" s="34">
        <f t="shared" si="118"/>
        <v>11606.53781499072</v>
      </c>
      <c r="O350" s="34">
        <v>0.02</v>
      </c>
      <c r="P350" s="34"/>
      <c r="Q350" s="5">
        <f t="shared" si="119"/>
        <v>11606.517814990719</v>
      </c>
      <c r="R350" s="30">
        <f t="shared" si="130"/>
        <v>11606.517814990719</v>
      </c>
      <c r="S350" s="1">
        <v>940.98</v>
      </c>
      <c r="T350" s="1">
        <v>940.98</v>
      </c>
      <c r="U350" s="1">
        <v>940.98</v>
      </c>
      <c r="V350" s="1">
        <v>940.98</v>
      </c>
      <c r="W350" s="1">
        <v>940.98</v>
      </c>
      <c r="X350" s="1">
        <v>940.98</v>
      </c>
      <c r="Y350" s="1">
        <v>1007.46</v>
      </c>
      <c r="Z350" s="1">
        <v>1007.46</v>
      </c>
      <c r="AA350" s="1">
        <v>1007.46</v>
      </c>
      <c r="AB350" s="1">
        <v>389.98</v>
      </c>
      <c r="AC350" s="165">
        <f t="shared" si="120"/>
        <v>9058.239999999998</v>
      </c>
      <c r="AD350" s="1">
        <v>0</v>
      </c>
      <c r="AE350" s="1">
        <v>617.47</v>
      </c>
      <c r="AF350" s="1"/>
      <c r="AG350" s="1">
        <v>1007.46</v>
      </c>
      <c r="AH350" s="1">
        <v>0</v>
      </c>
      <c r="AI350" s="1">
        <v>1007.46</v>
      </c>
      <c r="AJ350" s="6">
        <f t="shared" si="121"/>
        <v>11690.629999999997</v>
      </c>
      <c r="AK350" s="1"/>
      <c r="AL350" s="1"/>
      <c r="AM350" s="1"/>
      <c r="AN350" s="1"/>
      <c r="AO350" s="6">
        <f t="shared" si="122"/>
        <v>11690.629999999997</v>
      </c>
      <c r="AP350" s="136">
        <f t="shared" si="123"/>
        <v>-84.11218500927862</v>
      </c>
      <c r="AQ350" s="110"/>
      <c r="AR350" s="110"/>
      <c r="AS350" s="111"/>
      <c r="AT350" s="111">
        <f t="shared" si="127"/>
        <v>-84.11218500927862</v>
      </c>
      <c r="AU350" s="121"/>
      <c r="AV350" s="111"/>
      <c r="AW350" s="111"/>
      <c r="AX350" s="111"/>
      <c r="AY350" s="116"/>
      <c r="AZ350" s="172">
        <f t="shared" si="129"/>
        <v>0</v>
      </c>
      <c r="BA350" s="130">
        <v>92550.03</v>
      </c>
    </row>
    <row r="351" spans="1:53" ht="12.75">
      <c r="A351" s="1">
        <v>68</v>
      </c>
      <c r="B351" s="10" t="s">
        <v>336</v>
      </c>
      <c r="C351" s="1">
        <v>470.4</v>
      </c>
      <c r="D351" s="1">
        <v>0</v>
      </c>
      <c r="E351" s="7">
        <f aca="true" t="shared" si="131" ref="E351:E382">C351+D351</f>
        <v>470.4</v>
      </c>
      <c r="F351" s="5">
        <v>0</v>
      </c>
      <c r="G351" s="5">
        <v>1.84</v>
      </c>
      <c r="H351" s="5">
        <f aca="true" t="shared" si="132" ref="H351:H385">F351+G351</f>
        <v>1.84</v>
      </c>
      <c r="I351" s="28">
        <f aca="true" t="shared" si="133" ref="I351:I385">E351*H351*6</f>
        <v>5193.215999999999</v>
      </c>
      <c r="J351" s="5">
        <f aca="true" t="shared" si="134" ref="J351:J385">F351*1.067*1.002363</f>
        <v>0</v>
      </c>
      <c r="K351" s="5">
        <f aca="true" t="shared" si="135" ref="K351:K385">G351*1.067*1.002363</f>
        <v>1.9679192306399997</v>
      </c>
      <c r="L351" s="27">
        <f aca="true" t="shared" si="136" ref="L351:L385">J351+K351</f>
        <v>1.9679192306399997</v>
      </c>
      <c r="M351" s="61">
        <f aca="true" t="shared" si="137" ref="M351:M385">L351*E351*6</f>
        <v>5554.255236558335</v>
      </c>
      <c r="N351" s="34">
        <f aca="true" t="shared" si="138" ref="N351:N385">I351+M351</f>
        <v>10747.471236558335</v>
      </c>
      <c r="O351" s="34">
        <v>0.02</v>
      </c>
      <c r="P351" s="34"/>
      <c r="Q351" s="5">
        <f aca="true" t="shared" si="139" ref="Q351:Q385">N351-O351</f>
        <v>10747.451236558334</v>
      </c>
      <c r="R351" s="30">
        <f t="shared" si="130"/>
        <v>10747.451236558334</v>
      </c>
      <c r="S351" s="1">
        <v>865.54</v>
      </c>
      <c r="T351" s="1">
        <v>865.54</v>
      </c>
      <c r="U351" s="1">
        <v>865.54</v>
      </c>
      <c r="V351" s="1">
        <v>865.54</v>
      </c>
      <c r="W351" s="1">
        <v>865.54</v>
      </c>
      <c r="X351" s="1">
        <v>865.54</v>
      </c>
      <c r="Y351" s="1">
        <v>926.69</v>
      </c>
      <c r="Z351" s="1">
        <v>926.69</v>
      </c>
      <c r="AA351" s="1">
        <v>926.69</v>
      </c>
      <c r="AB351" s="1">
        <v>358.72</v>
      </c>
      <c r="AC351" s="165">
        <f aca="true" t="shared" si="140" ref="AC351:AC385">S351+T351++U351+V351+W351+X351+Y351+Z351+AA351+AB351</f>
        <v>8332.03</v>
      </c>
      <c r="AD351" s="1">
        <v>0</v>
      </c>
      <c r="AE351" s="1">
        <v>567.97</v>
      </c>
      <c r="AF351" s="1"/>
      <c r="AG351" s="1">
        <v>926.69</v>
      </c>
      <c r="AH351" s="1">
        <v>0</v>
      </c>
      <c r="AI351" s="1">
        <v>926.69</v>
      </c>
      <c r="AJ351" s="6">
        <f aca="true" t="shared" si="141" ref="AJ351:AJ385">AC351+AD351+AE351+AF351+AG351+AH351+AI351</f>
        <v>10753.380000000001</v>
      </c>
      <c r="AK351" s="1"/>
      <c r="AL351" s="1"/>
      <c r="AM351" s="1"/>
      <c r="AN351" s="1"/>
      <c r="AO351" s="6">
        <f aca="true" t="shared" si="142" ref="AO351:AO385">AJ351+AK351+AL351+AM351+AN351</f>
        <v>10753.380000000001</v>
      </c>
      <c r="AP351" s="136">
        <f aca="true" t="shared" si="143" ref="AP351:AP385">R351-AO351</f>
        <v>-5.928763441666888</v>
      </c>
      <c r="AQ351" s="110"/>
      <c r="AR351" s="110"/>
      <c r="AS351" s="111"/>
      <c r="AT351" s="111">
        <f aca="true" t="shared" si="144" ref="AT351:AT382">AP351+AQ351+AR351+AS351</f>
        <v>-5.928763441666888</v>
      </c>
      <c r="AU351" s="121"/>
      <c r="AV351" s="111"/>
      <c r="AW351" s="111"/>
      <c r="AX351" s="111"/>
      <c r="AY351" s="116"/>
      <c r="AZ351" s="172">
        <f t="shared" si="129"/>
        <v>0</v>
      </c>
      <c r="BA351" s="130">
        <v>92244.9</v>
      </c>
    </row>
    <row r="352" spans="1:53" ht="12.75">
      <c r="A352" s="1">
        <v>69</v>
      </c>
      <c r="B352" s="10" t="s">
        <v>337</v>
      </c>
      <c r="C352" s="1">
        <v>512.9</v>
      </c>
      <c r="D352" s="1">
        <v>0</v>
      </c>
      <c r="E352" s="7">
        <f t="shared" si="131"/>
        <v>512.9</v>
      </c>
      <c r="F352" s="5">
        <v>0</v>
      </c>
      <c r="G352" s="5">
        <v>1.84</v>
      </c>
      <c r="H352" s="5">
        <f t="shared" si="132"/>
        <v>1.84</v>
      </c>
      <c r="I352" s="28">
        <f t="shared" si="133"/>
        <v>5662.416</v>
      </c>
      <c r="J352" s="5">
        <f t="shared" si="134"/>
        <v>0</v>
      </c>
      <c r="K352" s="5">
        <f t="shared" si="135"/>
        <v>1.9679192306399997</v>
      </c>
      <c r="L352" s="27">
        <f t="shared" si="136"/>
        <v>1.9679192306399997</v>
      </c>
      <c r="M352" s="61">
        <f t="shared" si="137"/>
        <v>6056.074640371535</v>
      </c>
      <c r="N352" s="34">
        <f t="shared" si="138"/>
        <v>11718.490640371536</v>
      </c>
      <c r="O352" s="34">
        <v>0.04</v>
      </c>
      <c r="P352" s="34"/>
      <c r="Q352" s="5">
        <f t="shared" si="139"/>
        <v>11718.450640371535</v>
      </c>
      <c r="R352" s="30">
        <f t="shared" si="130"/>
        <v>11718.450640371535</v>
      </c>
      <c r="S352" s="1">
        <v>943.74</v>
      </c>
      <c r="T352" s="1">
        <v>943.74</v>
      </c>
      <c r="U352" s="1">
        <v>943.74</v>
      </c>
      <c r="V352" s="1">
        <v>943.74</v>
      </c>
      <c r="W352" s="1">
        <v>943.74</v>
      </c>
      <c r="X352" s="1">
        <v>943.74</v>
      </c>
      <c r="Y352" s="1">
        <v>1010.41</v>
      </c>
      <c r="Z352" s="1">
        <v>1010.41</v>
      </c>
      <c r="AA352" s="1">
        <v>1010.41</v>
      </c>
      <c r="AB352" s="1">
        <v>391.13</v>
      </c>
      <c r="AC352" s="165">
        <f t="shared" si="140"/>
        <v>9084.8</v>
      </c>
      <c r="AD352" s="1">
        <v>0</v>
      </c>
      <c r="AE352" s="1">
        <v>619.29</v>
      </c>
      <c r="AF352" s="1"/>
      <c r="AG352" s="1">
        <v>1010.41</v>
      </c>
      <c r="AH352" s="1">
        <v>0</v>
      </c>
      <c r="AI352" s="1">
        <v>1010.41</v>
      </c>
      <c r="AJ352" s="6">
        <f t="shared" si="141"/>
        <v>11724.91</v>
      </c>
      <c r="AK352" s="1"/>
      <c r="AL352" s="1"/>
      <c r="AM352" s="1"/>
      <c r="AN352" s="1"/>
      <c r="AO352" s="6">
        <f t="shared" si="142"/>
        <v>11724.91</v>
      </c>
      <c r="AP352" s="136">
        <f t="shared" si="143"/>
        <v>-6.459359628464881</v>
      </c>
      <c r="AQ352" s="110"/>
      <c r="AR352" s="110"/>
      <c r="AS352" s="111"/>
      <c r="AT352" s="111">
        <f t="shared" si="144"/>
        <v>-6.459359628464881</v>
      </c>
      <c r="AU352" s="121"/>
      <c r="AV352" s="111"/>
      <c r="AW352" s="111"/>
      <c r="AX352" s="111"/>
      <c r="AY352" s="116"/>
      <c r="AZ352" s="172">
        <f t="shared" si="129"/>
        <v>0</v>
      </c>
      <c r="BA352" s="130">
        <v>22450.7</v>
      </c>
    </row>
    <row r="353" spans="1:53" ht="12.75">
      <c r="A353" s="1">
        <v>70</v>
      </c>
      <c r="B353" s="10" t="s">
        <v>338</v>
      </c>
      <c r="C353" s="1">
        <v>541.1</v>
      </c>
      <c r="D353" s="1">
        <v>0</v>
      </c>
      <c r="E353" s="7">
        <f t="shared" si="131"/>
        <v>541.1</v>
      </c>
      <c r="F353" s="5">
        <v>0</v>
      </c>
      <c r="G353" s="5">
        <v>2.8</v>
      </c>
      <c r="H353" s="5">
        <f t="shared" si="132"/>
        <v>2.8</v>
      </c>
      <c r="I353" s="28">
        <f t="shared" si="133"/>
        <v>9090.48</v>
      </c>
      <c r="J353" s="5">
        <f t="shared" si="134"/>
        <v>0</v>
      </c>
      <c r="K353" s="5">
        <f t="shared" si="135"/>
        <v>2.994659698799999</v>
      </c>
      <c r="L353" s="27">
        <f t="shared" si="136"/>
        <v>2.994659698799999</v>
      </c>
      <c r="M353" s="61">
        <f t="shared" si="137"/>
        <v>9722.462178124078</v>
      </c>
      <c r="N353" s="34">
        <f t="shared" si="138"/>
        <v>18812.942178124078</v>
      </c>
      <c r="O353" s="34"/>
      <c r="P353" s="34"/>
      <c r="Q353" s="5">
        <f t="shared" si="139"/>
        <v>18812.942178124078</v>
      </c>
      <c r="R353" s="30">
        <f t="shared" si="130"/>
        <v>18812.942178124078</v>
      </c>
      <c r="S353" s="1">
        <v>7729.01</v>
      </c>
      <c r="T353" s="1">
        <v>995.62</v>
      </c>
      <c r="U353" s="1">
        <v>995.62</v>
      </c>
      <c r="V353" s="1">
        <v>995.62</v>
      </c>
      <c r="W353" s="1">
        <v>995.62</v>
      </c>
      <c r="X353" s="1">
        <v>995.62</v>
      </c>
      <c r="Y353" s="1">
        <v>1065.97</v>
      </c>
      <c r="Z353" s="1">
        <v>1065.97</v>
      </c>
      <c r="AA353" s="1">
        <v>1065.97</v>
      </c>
      <c r="AB353" s="1">
        <v>412.63</v>
      </c>
      <c r="AC353" s="165">
        <f t="shared" si="140"/>
        <v>16317.650000000001</v>
      </c>
      <c r="AD353" s="1">
        <v>0</v>
      </c>
      <c r="AE353" s="1">
        <v>653.33</v>
      </c>
      <c r="AF353" s="1"/>
      <c r="AG353" s="1">
        <v>1624.21</v>
      </c>
      <c r="AH353" s="1">
        <v>0</v>
      </c>
      <c r="AI353" s="1">
        <v>1065.97</v>
      </c>
      <c r="AJ353" s="6">
        <f t="shared" si="141"/>
        <v>19661.160000000003</v>
      </c>
      <c r="AK353" s="1"/>
      <c r="AL353" s="1"/>
      <c r="AM353" s="1"/>
      <c r="AN353" s="1"/>
      <c r="AO353" s="6">
        <f t="shared" si="142"/>
        <v>19661.160000000003</v>
      </c>
      <c r="AP353" s="136">
        <f t="shared" si="143"/>
        <v>-848.2178218759254</v>
      </c>
      <c r="AQ353" s="110"/>
      <c r="AR353" s="110"/>
      <c r="AS353" s="111"/>
      <c r="AT353" s="111">
        <f t="shared" si="144"/>
        <v>-848.2178218759254</v>
      </c>
      <c r="AU353" s="133"/>
      <c r="AV353" s="111"/>
      <c r="AW353" s="111"/>
      <c r="AX353" s="111"/>
      <c r="AY353" s="134"/>
      <c r="AZ353" s="172">
        <f t="shared" si="129"/>
        <v>0</v>
      </c>
      <c r="BA353" s="127">
        <v>120433.64</v>
      </c>
    </row>
    <row r="354" spans="1:53" ht="12.75">
      <c r="A354" s="1">
        <v>71</v>
      </c>
      <c r="B354" s="117" t="s">
        <v>340</v>
      </c>
      <c r="C354" s="1">
        <v>521.5</v>
      </c>
      <c r="D354" s="1">
        <v>0</v>
      </c>
      <c r="E354" s="7">
        <f t="shared" si="131"/>
        <v>521.5</v>
      </c>
      <c r="F354" s="5">
        <v>0</v>
      </c>
      <c r="G354" s="5">
        <v>1.84</v>
      </c>
      <c r="H354" s="5">
        <f t="shared" si="132"/>
        <v>1.84</v>
      </c>
      <c r="I354" s="28">
        <f>E354*H354*3</f>
        <v>2878.6800000000003</v>
      </c>
      <c r="J354" s="5">
        <f t="shared" si="134"/>
        <v>0</v>
      </c>
      <c r="K354" s="5">
        <f t="shared" si="135"/>
        <v>1.9679192306399997</v>
      </c>
      <c r="L354" s="27">
        <f t="shared" si="136"/>
        <v>1.9679192306399997</v>
      </c>
      <c r="M354" s="61">
        <f>L354*E354*0</f>
        <v>0</v>
      </c>
      <c r="N354" s="34">
        <f t="shared" si="138"/>
        <v>2878.6800000000003</v>
      </c>
      <c r="O354" s="34">
        <v>0.02</v>
      </c>
      <c r="P354" s="34"/>
      <c r="Q354" s="5">
        <f t="shared" si="139"/>
        <v>2878.6600000000003</v>
      </c>
      <c r="R354" s="30">
        <f t="shared" si="130"/>
        <v>2878.6600000000003</v>
      </c>
      <c r="S354" s="1">
        <v>959.56</v>
      </c>
      <c r="T354" s="1">
        <v>959.56</v>
      </c>
      <c r="U354" s="1">
        <v>959.56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65">
        <f t="shared" si="140"/>
        <v>2878.68</v>
      </c>
      <c r="AD354" s="1">
        <v>0</v>
      </c>
      <c r="AE354" s="1">
        <v>0</v>
      </c>
      <c r="AF354" s="1"/>
      <c r="AG354" s="1">
        <v>0</v>
      </c>
      <c r="AH354" s="1">
        <v>0</v>
      </c>
      <c r="AI354" s="1">
        <v>0</v>
      </c>
      <c r="AJ354" s="6">
        <f t="shared" si="141"/>
        <v>2878.68</v>
      </c>
      <c r="AK354" s="1"/>
      <c r="AL354" s="1"/>
      <c r="AM354" s="1"/>
      <c r="AN354" s="1"/>
      <c r="AO354" s="6">
        <f t="shared" si="142"/>
        <v>2878.68</v>
      </c>
      <c r="AP354" s="91">
        <f t="shared" si="143"/>
        <v>-0.019999999999527063</v>
      </c>
      <c r="AQ354" s="10"/>
      <c r="AR354" s="10"/>
      <c r="AS354" s="34"/>
      <c r="AT354" s="116"/>
      <c r="AU354" s="116"/>
      <c r="AV354" s="116"/>
      <c r="AW354" s="116"/>
      <c r="AX354" s="116">
        <f>AT354+AU354-AV354</f>
        <v>0</v>
      </c>
      <c r="AY354" s="116"/>
      <c r="AZ354" s="172">
        <f t="shared" si="129"/>
        <v>0</v>
      </c>
      <c r="BA354" s="116"/>
    </row>
    <row r="355" spans="1:53" ht="12.75">
      <c r="A355" s="1">
        <v>72</v>
      </c>
      <c r="B355" s="10" t="s">
        <v>341</v>
      </c>
      <c r="C355" s="1">
        <v>519.8</v>
      </c>
      <c r="D355" s="1">
        <v>0</v>
      </c>
      <c r="E355" s="7">
        <f t="shared" si="131"/>
        <v>519.8</v>
      </c>
      <c r="F355" s="5">
        <v>0</v>
      </c>
      <c r="G355" s="5">
        <v>1.84</v>
      </c>
      <c r="H355" s="5">
        <f t="shared" si="132"/>
        <v>1.84</v>
      </c>
      <c r="I355" s="28">
        <f t="shared" si="133"/>
        <v>5738.592</v>
      </c>
      <c r="J355" s="5">
        <f t="shared" si="134"/>
        <v>0</v>
      </c>
      <c r="K355" s="5">
        <f t="shared" si="135"/>
        <v>1.9679192306399997</v>
      </c>
      <c r="L355" s="27">
        <f t="shared" si="136"/>
        <v>1.9679192306399997</v>
      </c>
      <c r="M355" s="61">
        <f t="shared" si="137"/>
        <v>6137.54649652003</v>
      </c>
      <c r="N355" s="34">
        <f t="shared" si="138"/>
        <v>11876.13849652003</v>
      </c>
      <c r="O355" s="34"/>
      <c r="P355" s="34"/>
      <c r="Q355" s="5">
        <f t="shared" si="139"/>
        <v>11876.13849652003</v>
      </c>
      <c r="R355" s="30">
        <f t="shared" si="130"/>
        <v>11876.13849652003</v>
      </c>
      <c r="S355" s="1">
        <v>956.43</v>
      </c>
      <c r="T355" s="1">
        <v>956.43</v>
      </c>
      <c r="U355" s="1">
        <v>956.43</v>
      </c>
      <c r="V355" s="1">
        <v>956.43</v>
      </c>
      <c r="W355" s="1">
        <v>956.43</v>
      </c>
      <c r="X355" s="1">
        <v>956.43</v>
      </c>
      <c r="Y355" s="1">
        <v>1024.01</v>
      </c>
      <c r="Z355" s="1">
        <v>1024.01</v>
      </c>
      <c r="AA355" s="1">
        <v>1024.01</v>
      </c>
      <c r="AB355" s="1">
        <v>396.39</v>
      </c>
      <c r="AC355" s="165">
        <f t="shared" si="140"/>
        <v>9207</v>
      </c>
      <c r="AD355" s="1">
        <v>0</v>
      </c>
      <c r="AE355" s="1">
        <v>627.62</v>
      </c>
      <c r="AF355" s="1"/>
      <c r="AG355" s="1">
        <v>1024.01</v>
      </c>
      <c r="AH355" s="1">
        <v>0</v>
      </c>
      <c r="AI355" s="1">
        <v>1024.01</v>
      </c>
      <c r="AJ355" s="6">
        <f t="shared" si="141"/>
        <v>11882.640000000001</v>
      </c>
      <c r="AK355" s="1"/>
      <c r="AL355" s="1"/>
      <c r="AM355" s="1"/>
      <c r="AN355" s="1"/>
      <c r="AO355" s="6">
        <f t="shared" si="142"/>
        <v>11882.640000000001</v>
      </c>
      <c r="AP355" s="136">
        <f t="shared" si="143"/>
        <v>-6.501503479970779</v>
      </c>
      <c r="AQ355" s="110"/>
      <c r="AR355" s="110"/>
      <c r="AS355" s="111"/>
      <c r="AT355" s="111">
        <f t="shared" si="144"/>
        <v>-6.501503479970779</v>
      </c>
      <c r="AU355" s="121"/>
      <c r="AV355" s="111"/>
      <c r="AW355" s="111"/>
      <c r="AX355" s="111"/>
      <c r="AY355" s="116"/>
      <c r="AZ355" s="172">
        <f t="shared" si="129"/>
        <v>0</v>
      </c>
      <c r="BA355" s="130">
        <v>258899.78</v>
      </c>
    </row>
    <row r="356" spans="1:53" ht="12.75">
      <c r="A356" s="1">
        <v>73</v>
      </c>
      <c r="B356" s="10" t="s">
        <v>342</v>
      </c>
      <c r="C356" s="1">
        <v>535</v>
      </c>
      <c r="D356" s="1">
        <v>0</v>
      </c>
      <c r="E356" s="7">
        <f t="shared" si="131"/>
        <v>535</v>
      </c>
      <c r="F356" s="5">
        <v>0</v>
      </c>
      <c r="G356" s="5">
        <v>1.84</v>
      </c>
      <c r="H356" s="5">
        <f t="shared" si="132"/>
        <v>1.84</v>
      </c>
      <c r="I356" s="28">
        <f t="shared" si="133"/>
        <v>5906.400000000001</v>
      </c>
      <c r="J356" s="5">
        <f t="shared" si="134"/>
        <v>0</v>
      </c>
      <c r="K356" s="5">
        <f t="shared" si="135"/>
        <v>1.9679192306399997</v>
      </c>
      <c r="L356" s="27">
        <f t="shared" si="136"/>
        <v>1.9679192306399997</v>
      </c>
      <c r="M356" s="61">
        <f t="shared" si="137"/>
        <v>6317.020730354399</v>
      </c>
      <c r="N356" s="34">
        <f t="shared" si="138"/>
        <v>12223.420730354399</v>
      </c>
      <c r="O356" s="34">
        <v>15727.82</v>
      </c>
      <c r="P356" s="34"/>
      <c r="Q356" s="5">
        <f t="shared" si="139"/>
        <v>-3504.3992696456007</v>
      </c>
      <c r="R356" s="30">
        <v>11812.8</v>
      </c>
      <c r="S356" s="1">
        <v>984.4</v>
      </c>
      <c r="T356" s="1">
        <v>984.4</v>
      </c>
      <c r="U356" s="1">
        <v>984.4</v>
      </c>
      <c r="V356" s="1">
        <v>984.4</v>
      </c>
      <c r="W356" s="1">
        <v>984.4</v>
      </c>
      <c r="X356" s="1">
        <v>984.4</v>
      </c>
      <c r="Y356" s="1">
        <v>1053.95</v>
      </c>
      <c r="Z356" s="1">
        <v>1053.95</v>
      </c>
      <c r="AA356" s="1">
        <v>1053.95</v>
      </c>
      <c r="AB356" s="1">
        <v>407.98</v>
      </c>
      <c r="AC356" s="165">
        <f t="shared" si="140"/>
        <v>9476.23</v>
      </c>
      <c r="AD356" s="1">
        <v>0</v>
      </c>
      <c r="AE356" s="1">
        <v>645.97</v>
      </c>
      <c r="AF356" s="1"/>
      <c r="AG356" s="1">
        <v>1053.95</v>
      </c>
      <c r="AH356" s="1">
        <v>0</v>
      </c>
      <c r="AI356" s="1">
        <v>1053.95</v>
      </c>
      <c r="AJ356" s="6">
        <f t="shared" si="141"/>
        <v>12230.1</v>
      </c>
      <c r="AK356" s="1"/>
      <c r="AL356" s="1"/>
      <c r="AM356" s="1"/>
      <c r="AN356" s="1"/>
      <c r="AO356" s="6">
        <f t="shared" si="142"/>
        <v>12230.1</v>
      </c>
      <c r="AP356" s="136">
        <f t="shared" si="143"/>
        <v>-417.3000000000011</v>
      </c>
      <c r="AQ356" s="110"/>
      <c r="AR356" s="110"/>
      <c r="AS356" s="111"/>
      <c r="AT356" s="111">
        <f t="shared" si="144"/>
        <v>-417.3000000000011</v>
      </c>
      <c r="AU356" s="121"/>
      <c r="AV356" s="111"/>
      <c r="AW356" s="111"/>
      <c r="AX356" s="111"/>
      <c r="AY356" s="116"/>
      <c r="AZ356" s="172">
        <f t="shared" si="129"/>
        <v>0</v>
      </c>
      <c r="BA356" s="130">
        <v>74890.19</v>
      </c>
    </row>
    <row r="357" spans="1:53" ht="12.75">
      <c r="A357" s="1">
        <v>74</v>
      </c>
      <c r="B357" s="117" t="s">
        <v>339</v>
      </c>
      <c r="C357" s="1">
        <v>493.9</v>
      </c>
      <c r="D357" s="1">
        <v>0</v>
      </c>
      <c r="E357" s="7">
        <f t="shared" si="131"/>
        <v>493.9</v>
      </c>
      <c r="F357" s="5">
        <v>0</v>
      </c>
      <c r="G357" s="5">
        <v>1.84</v>
      </c>
      <c r="H357" s="5">
        <f t="shared" si="132"/>
        <v>1.84</v>
      </c>
      <c r="I357" s="28">
        <f t="shared" si="133"/>
        <v>5452.656</v>
      </c>
      <c r="J357" s="5">
        <f t="shared" si="134"/>
        <v>0</v>
      </c>
      <c r="K357" s="5">
        <f t="shared" si="135"/>
        <v>1.9679192306399997</v>
      </c>
      <c r="L357" s="27">
        <f t="shared" si="136"/>
        <v>1.9679192306399997</v>
      </c>
      <c r="M357" s="61">
        <f>L357*E357*0</f>
        <v>0</v>
      </c>
      <c r="N357" s="34">
        <f t="shared" si="138"/>
        <v>5452.656</v>
      </c>
      <c r="O357" s="34"/>
      <c r="P357" s="34"/>
      <c r="Q357" s="5">
        <f t="shared" si="139"/>
        <v>5452.656</v>
      </c>
      <c r="R357" s="30">
        <f t="shared" si="130"/>
        <v>5452.656</v>
      </c>
      <c r="S357" s="1">
        <v>991.76</v>
      </c>
      <c r="T357" s="1">
        <v>991.76</v>
      </c>
      <c r="U357" s="1">
        <v>991.76</v>
      </c>
      <c r="V357" s="1">
        <v>991.76</v>
      </c>
      <c r="W357" s="1">
        <v>991.76</v>
      </c>
      <c r="X357" s="1">
        <v>991.76</v>
      </c>
      <c r="Y357" s="1">
        <v>1061.83</v>
      </c>
      <c r="Z357" s="1">
        <v>0</v>
      </c>
      <c r="AA357" s="1">
        <v>0</v>
      </c>
      <c r="AB357" s="1">
        <v>0</v>
      </c>
      <c r="AC357" s="165">
        <f t="shared" si="140"/>
        <v>7012.39</v>
      </c>
      <c r="AD357" s="1">
        <v>0</v>
      </c>
      <c r="AE357" s="1">
        <v>0</v>
      </c>
      <c r="AF357" s="1"/>
      <c r="AG357" s="1">
        <v>0</v>
      </c>
      <c r="AH357" s="1">
        <v>0</v>
      </c>
      <c r="AI357" s="1">
        <v>0</v>
      </c>
      <c r="AJ357" s="6">
        <f t="shared" si="141"/>
        <v>7012.39</v>
      </c>
      <c r="AK357" s="1"/>
      <c r="AL357" s="1"/>
      <c r="AM357" s="1"/>
      <c r="AN357" s="1"/>
      <c r="AO357" s="6">
        <f t="shared" si="142"/>
        <v>7012.39</v>
      </c>
      <c r="AP357" s="91">
        <f t="shared" si="143"/>
        <v>-1559.7340000000004</v>
      </c>
      <c r="AQ357" s="10"/>
      <c r="AR357" s="10"/>
      <c r="AS357" s="34"/>
      <c r="AT357" s="116"/>
      <c r="AU357" s="116"/>
      <c r="AV357" s="116"/>
      <c r="AW357" s="116"/>
      <c r="AX357" s="116">
        <f>AT357+AU357-AV357</f>
        <v>0</v>
      </c>
      <c r="AY357" s="116"/>
      <c r="AZ357" s="172">
        <f t="shared" si="129"/>
        <v>0</v>
      </c>
      <c r="BA357" s="116"/>
    </row>
    <row r="358" spans="1:53" ht="12.75">
      <c r="A358" s="1">
        <v>75</v>
      </c>
      <c r="B358" s="84" t="s">
        <v>175</v>
      </c>
      <c r="C358" s="6">
        <v>162</v>
      </c>
      <c r="D358" s="6">
        <v>0</v>
      </c>
      <c r="E358" s="25">
        <f t="shared" si="131"/>
        <v>162</v>
      </c>
      <c r="F358" s="5">
        <v>0</v>
      </c>
      <c r="G358" s="5">
        <v>1.84</v>
      </c>
      <c r="H358" s="5">
        <f t="shared" si="132"/>
        <v>1.84</v>
      </c>
      <c r="I358" s="28">
        <f t="shared" si="133"/>
        <v>1788.4800000000002</v>
      </c>
      <c r="J358" s="5">
        <f t="shared" si="134"/>
        <v>0</v>
      </c>
      <c r="K358" s="5">
        <f t="shared" si="135"/>
        <v>1.9679192306399997</v>
      </c>
      <c r="L358" s="27">
        <f t="shared" si="136"/>
        <v>1.9679192306399997</v>
      </c>
      <c r="M358" s="61">
        <f t="shared" si="137"/>
        <v>1912.8174921820798</v>
      </c>
      <c r="N358" s="34">
        <f t="shared" si="138"/>
        <v>3701.29749218208</v>
      </c>
      <c r="O358" s="34"/>
      <c r="P358" s="34"/>
      <c r="Q358" s="5">
        <f t="shared" si="139"/>
        <v>3701.29749218208</v>
      </c>
      <c r="R358" s="30">
        <f t="shared" si="130"/>
        <v>3701.29749218208</v>
      </c>
      <c r="S358" s="1">
        <v>298.08</v>
      </c>
      <c r="T358" s="1">
        <v>298.08</v>
      </c>
      <c r="U358" s="1">
        <v>298.08</v>
      </c>
      <c r="V358" s="1">
        <v>298.08</v>
      </c>
      <c r="W358" s="1">
        <v>298.08</v>
      </c>
      <c r="X358" s="1">
        <v>298.08</v>
      </c>
      <c r="Y358" s="1">
        <v>319.14</v>
      </c>
      <c r="Z358" s="1">
        <v>319.14</v>
      </c>
      <c r="AA358" s="1">
        <v>319.14</v>
      </c>
      <c r="AB358" s="1">
        <v>123.54</v>
      </c>
      <c r="AC358" s="165">
        <f t="shared" si="140"/>
        <v>2869.4399999999996</v>
      </c>
      <c r="AD358" s="1">
        <v>0</v>
      </c>
      <c r="AE358" s="1">
        <v>195.6</v>
      </c>
      <c r="AF358" s="1">
        <v>0</v>
      </c>
      <c r="AG358" s="1">
        <v>319.14</v>
      </c>
      <c r="AH358" s="1">
        <v>0</v>
      </c>
      <c r="AI358" s="1">
        <v>319.14</v>
      </c>
      <c r="AJ358" s="6">
        <f t="shared" si="141"/>
        <v>3703.3199999999993</v>
      </c>
      <c r="AK358" s="1"/>
      <c r="AL358" s="1"/>
      <c r="AM358" s="1"/>
      <c r="AN358" s="1"/>
      <c r="AO358" s="6">
        <f t="shared" si="142"/>
        <v>3703.3199999999993</v>
      </c>
      <c r="AP358" s="136">
        <f t="shared" si="143"/>
        <v>-2.022507817919177</v>
      </c>
      <c r="AQ358" s="110"/>
      <c r="AR358" s="110"/>
      <c r="AS358" s="111"/>
      <c r="AT358" s="111">
        <f t="shared" si="144"/>
        <v>-2.022507817919177</v>
      </c>
      <c r="AU358" s="121"/>
      <c r="AV358" s="111"/>
      <c r="AW358" s="111"/>
      <c r="AX358" s="111"/>
      <c r="AY358" s="116"/>
      <c r="AZ358" s="172">
        <f t="shared" si="129"/>
        <v>0</v>
      </c>
      <c r="BA358" s="130">
        <v>89881.08</v>
      </c>
    </row>
    <row r="359" spans="1:53" ht="12.75">
      <c r="A359" s="1">
        <v>76</v>
      </c>
      <c r="B359" s="117" t="s">
        <v>454</v>
      </c>
      <c r="C359" s="1">
        <v>581.3</v>
      </c>
      <c r="D359" s="1">
        <v>0</v>
      </c>
      <c r="E359" s="7">
        <f t="shared" si="131"/>
        <v>581.3</v>
      </c>
      <c r="F359" s="5">
        <v>0</v>
      </c>
      <c r="G359" s="5">
        <v>1.84</v>
      </c>
      <c r="H359" s="5">
        <f t="shared" si="132"/>
        <v>1.84</v>
      </c>
      <c r="I359" s="28">
        <f>E359*H359*5</f>
        <v>5347.959999999999</v>
      </c>
      <c r="J359" s="5">
        <f t="shared" si="134"/>
        <v>0</v>
      </c>
      <c r="K359" s="5">
        <f t="shared" si="135"/>
        <v>1.9679192306399997</v>
      </c>
      <c r="L359" s="27">
        <f t="shared" si="136"/>
        <v>1.9679192306399997</v>
      </c>
      <c r="M359" s="61">
        <f>L359*E359*0</f>
        <v>0</v>
      </c>
      <c r="N359" s="34">
        <f t="shared" si="138"/>
        <v>5347.959999999999</v>
      </c>
      <c r="O359" s="34">
        <v>0.01</v>
      </c>
      <c r="P359" s="34"/>
      <c r="Q359" s="5">
        <f t="shared" si="139"/>
        <v>5347.949999999999</v>
      </c>
      <c r="R359" s="30">
        <f t="shared" si="130"/>
        <v>5347.949999999999</v>
      </c>
      <c r="S359" s="1">
        <v>1069.59</v>
      </c>
      <c r="T359" s="1">
        <v>1069.59</v>
      </c>
      <c r="U359" s="1">
        <v>1069.59</v>
      </c>
      <c r="V359" s="1">
        <v>1069.59</v>
      </c>
      <c r="W359" s="1">
        <v>1069.59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65">
        <f t="shared" si="140"/>
        <v>5347.95</v>
      </c>
      <c r="AD359" s="1">
        <v>0</v>
      </c>
      <c r="AE359" s="1">
        <v>0</v>
      </c>
      <c r="AF359" s="1"/>
      <c r="AG359" s="1">
        <v>0</v>
      </c>
      <c r="AH359" s="1">
        <v>0</v>
      </c>
      <c r="AI359" s="1">
        <v>0</v>
      </c>
      <c r="AJ359" s="6">
        <f t="shared" si="141"/>
        <v>5347.95</v>
      </c>
      <c r="AK359" s="1"/>
      <c r="AL359" s="1"/>
      <c r="AM359" s="1"/>
      <c r="AN359" s="1"/>
      <c r="AO359" s="6">
        <f t="shared" si="142"/>
        <v>5347.95</v>
      </c>
      <c r="AP359" s="91">
        <f t="shared" si="143"/>
        <v>0</v>
      </c>
      <c r="AQ359" s="10"/>
      <c r="AR359" s="10"/>
      <c r="AS359" s="34"/>
      <c r="AT359" s="116">
        <f t="shared" si="144"/>
        <v>0</v>
      </c>
      <c r="AU359" s="116"/>
      <c r="AV359" s="116"/>
      <c r="AW359" s="116"/>
      <c r="AX359" s="116">
        <f>AT359+AU359-AV359</f>
        <v>0</v>
      </c>
      <c r="AY359" s="116"/>
      <c r="AZ359" s="172">
        <f t="shared" si="129"/>
        <v>0</v>
      </c>
      <c r="BA359" s="116"/>
    </row>
    <row r="360" spans="1:53" ht="12.75">
      <c r="A360" s="1">
        <v>77</v>
      </c>
      <c r="B360" s="117" t="s">
        <v>455</v>
      </c>
      <c r="C360" s="1">
        <v>590.7</v>
      </c>
      <c r="D360" s="1">
        <v>0</v>
      </c>
      <c r="E360" s="7">
        <f t="shared" si="131"/>
        <v>590.7</v>
      </c>
      <c r="F360" s="5">
        <v>0</v>
      </c>
      <c r="G360" s="5">
        <v>2.8</v>
      </c>
      <c r="H360" s="5">
        <f t="shared" si="132"/>
        <v>2.8</v>
      </c>
      <c r="I360" s="28">
        <f>E360*H360*5</f>
        <v>8269.8</v>
      </c>
      <c r="J360" s="5">
        <f t="shared" si="134"/>
        <v>0</v>
      </c>
      <c r="K360" s="5">
        <f t="shared" si="135"/>
        <v>2.994659698799999</v>
      </c>
      <c r="L360" s="27">
        <f t="shared" si="136"/>
        <v>2.994659698799999</v>
      </c>
      <c r="M360" s="61">
        <f>L360*E360*0</f>
        <v>0</v>
      </c>
      <c r="N360" s="34">
        <f t="shared" si="138"/>
        <v>8269.8</v>
      </c>
      <c r="O360" s="34"/>
      <c r="P360" s="34"/>
      <c r="Q360" s="5">
        <f t="shared" si="139"/>
        <v>8269.8</v>
      </c>
      <c r="R360" s="30">
        <f t="shared" si="130"/>
        <v>8269.8</v>
      </c>
      <c r="S360" s="1">
        <v>1086.89</v>
      </c>
      <c r="T360" s="1">
        <v>1086.89</v>
      </c>
      <c r="U360" s="1">
        <v>1086.89</v>
      </c>
      <c r="V360" s="1">
        <v>1086.89</v>
      </c>
      <c r="W360" s="1">
        <v>1086.89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65">
        <f t="shared" si="140"/>
        <v>5434.450000000001</v>
      </c>
      <c r="AD360" s="1">
        <v>0</v>
      </c>
      <c r="AE360" s="1">
        <v>0</v>
      </c>
      <c r="AF360" s="1"/>
      <c r="AG360" s="1">
        <v>0</v>
      </c>
      <c r="AH360" s="1">
        <v>0</v>
      </c>
      <c r="AI360" s="1">
        <v>0</v>
      </c>
      <c r="AJ360" s="6">
        <f t="shared" si="141"/>
        <v>5434.450000000001</v>
      </c>
      <c r="AK360" s="1"/>
      <c r="AL360" s="1"/>
      <c r="AM360" s="1"/>
      <c r="AN360" s="1"/>
      <c r="AO360" s="6">
        <f t="shared" si="142"/>
        <v>5434.450000000001</v>
      </c>
      <c r="AP360" s="91">
        <f t="shared" si="143"/>
        <v>2835.3499999999985</v>
      </c>
      <c r="AQ360" s="10"/>
      <c r="AR360" s="10"/>
      <c r="AS360" s="34"/>
      <c r="AT360" s="116">
        <f t="shared" si="144"/>
        <v>2835.3499999999985</v>
      </c>
      <c r="AU360" s="116"/>
      <c r="AV360" s="116"/>
      <c r="AW360" s="116"/>
      <c r="AX360" s="116">
        <f>AT360+AU360-AV360</f>
        <v>2835.3499999999985</v>
      </c>
      <c r="AY360" s="116"/>
      <c r="AZ360" s="172">
        <f t="shared" si="129"/>
        <v>2835.3499999999985</v>
      </c>
      <c r="BA360" s="116"/>
    </row>
    <row r="361" spans="1:53" ht="12.75">
      <c r="A361" s="1">
        <v>78</v>
      </c>
      <c r="B361" s="117" t="s">
        <v>462</v>
      </c>
      <c r="C361" s="1">
        <v>633.3</v>
      </c>
      <c r="D361" s="1">
        <v>0</v>
      </c>
      <c r="E361" s="7">
        <f t="shared" si="131"/>
        <v>633.3</v>
      </c>
      <c r="F361" s="5">
        <v>0</v>
      </c>
      <c r="G361" s="5">
        <v>2.8</v>
      </c>
      <c r="H361" s="5">
        <f t="shared" si="132"/>
        <v>2.8</v>
      </c>
      <c r="I361" s="28">
        <f>E361*H361*5</f>
        <v>8866.199999999999</v>
      </c>
      <c r="J361" s="5">
        <f t="shared" si="134"/>
        <v>0</v>
      </c>
      <c r="K361" s="5">
        <f t="shared" si="135"/>
        <v>2.994659698799999</v>
      </c>
      <c r="L361" s="27">
        <f t="shared" si="136"/>
        <v>2.994659698799999</v>
      </c>
      <c r="M361" s="61">
        <f>L361*E361*0</f>
        <v>0</v>
      </c>
      <c r="N361" s="34">
        <f t="shared" si="138"/>
        <v>8866.199999999999</v>
      </c>
      <c r="O361" s="34"/>
      <c r="P361" s="34"/>
      <c r="Q361" s="5">
        <f t="shared" si="139"/>
        <v>8866.199999999999</v>
      </c>
      <c r="R361" s="30">
        <f t="shared" si="130"/>
        <v>8866.199999999999</v>
      </c>
      <c r="S361" s="1">
        <v>1165.27</v>
      </c>
      <c r="T361" s="1">
        <v>1165.27</v>
      </c>
      <c r="U361" s="1">
        <v>1165.27</v>
      </c>
      <c r="V361" s="1">
        <v>1165.27</v>
      </c>
      <c r="W361" s="1">
        <v>1165.27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65">
        <f t="shared" si="140"/>
        <v>5826.35</v>
      </c>
      <c r="AD361" s="1">
        <v>0</v>
      </c>
      <c r="AE361" s="1">
        <v>0</v>
      </c>
      <c r="AF361" s="1"/>
      <c r="AG361" s="1">
        <v>0</v>
      </c>
      <c r="AH361" s="1">
        <v>0</v>
      </c>
      <c r="AI361" s="1">
        <v>0</v>
      </c>
      <c r="AJ361" s="6">
        <f t="shared" si="141"/>
        <v>5826.35</v>
      </c>
      <c r="AK361" s="1"/>
      <c r="AL361" s="1"/>
      <c r="AM361" s="1"/>
      <c r="AN361" s="1"/>
      <c r="AO361" s="6">
        <f t="shared" si="142"/>
        <v>5826.35</v>
      </c>
      <c r="AP361" s="91">
        <f t="shared" si="143"/>
        <v>3039.8499999999985</v>
      </c>
      <c r="AQ361" s="10"/>
      <c r="AR361" s="10"/>
      <c r="AS361" s="34"/>
      <c r="AT361" s="116">
        <f t="shared" si="144"/>
        <v>3039.8499999999985</v>
      </c>
      <c r="AU361" s="116"/>
      <c r="AV361" s="116"/>
      <c r="AW361" s="116"/>
      <c r="AX361" s="116">
        <f>AT361+AU361-AV361</f>
        <v>3039.8499999999985</v>
      </c>
      <c r="AY361" s="116"/>
      <c r="AZ361" s="172">
        <f t="shared" si="129"/>
        <v>3039.8499999999985</v>
      </c>
      <c r="BA361" s="116"/>
    </row>
    <row r="362" spans="1:53" ht="12.75">
      <c r="A362" s="1">
        <v>79</v>
      </c>
      <c r="B362" s="10" t="s">
        <v>343</v>
      </c>
      <c r="C362" s="1">
        <v>543.3</v>
      </c>
      <c r="D362" s="1">
        <v>0</v>
      </c>
      <c r="E362" s="7">
        <f t="shared" si="131"/>
        <v>543.3</v>
      </c>
      <c r="F362" s="5">
        <v>0</v>
      </c>
      <c r="G362" s="5">
        <v>1.84</v>
      </c>
      <c r="H362" s="5">
        <f t="shared" si="132"/>
        <v>1.84</v>
      </c>
      <c r="I362" s="28">
        <f t="shared" si="133"/>
        <v>5998.031999999999</v>
      </c>
      <c r="J362" s="5">
        <f t="shared" si="134"/>
        <v>0</v>
      </c>
      <c r="K362" s="5">
        <f t="shared" si="135"/>
        <v>1.9679192306399997</v>
      </c>
      <c r="L362" s="27">
        <f t="shared" si="136"/>
        <v>1.9679192306399997</v>
      </c>
      <c r="M362" s="61">
        <f t="shared" si="137"/>
        <v>6415.02310804027</v>
      </c>
      <c r="N362" s="34">
        <f t="shared" si="138"/>
        <v>12413.05510804027</v>
      </c>
      <c r="O362" s="34">
        <v>0.01</v>
      </c>
      <c r="P362" s="34"/>
      <c r="Q362" s="5">
        <f t="shared" si="139"/>
        <v>12413.045108040269</v>
      </c>
      <c r="R362" s="30">
        <f t="shared" si="130"/>
        <v>12413.045108040269</v>
      </c>
      <c r="S362" s="1">
        <v>999.67</v>
      </c>
      <c r="T362" s="1">
        <v>999.67</v>
      </c>
      <c r="U362" s="1">
        <v>999.67</v>
      </c>
      <c r="V362" s="1">
        <v>999.67</v>
      </c>
      <c r="W362" s="1">
        <v>999.67</v>
      </c>
      <c r="X362" s="1">
        <v>999.67</v>
      </c>
      <c r="Y362" s="1">
        <v>1070.3</v>
      </c>
      <c r="Z362" s="1">
        <v>1070.3</v>
      </c>
      <c r="AA362" s="1">
        <v>1070.3</v>
      </c>
      <c r="AB362" s="1">
        <v>414.31</v>
      </c>
      <c r="AC362" s="165">
        <f t="shared" si="140"/>
        <v>9623.23</v>
      </c>
      <c r="AD362" s="1">
        <v>0</v>
      </c>
      <c r="AE362" s="1">
        <v>655.99</v>
      </c>
      <c r="AF362" s="1"/>
      <c r="AG362" s="1">
        <v>1070.3</v>
      </c>
      <c r="AH362" s="1">
        <v>0</v>
      </c>
      <c r="AI362" s="1">
        <v>1070.3</v>
      </c>
      <c r="AJ362" s="6">
        <f t="shared" si="141"/>
        <v>12419.819999999998</v>
      </c>
      <c r="AK362" s="1"/>
      <c r="AL362" s="1"/>
      <c r="AM362" s="1"/>
      <c r="AN362" s="1"/>
      <c r="AO362" s="6">
        <f t="shared" si="142"/>
        <v>12419.819999999998</v>
      </c>
      <c r="AP362" s="136">
        <f t="shared" si="143"/>
        <v>-6.774891959728848</v>
      </c>
      <c r="AQ362" s="110"/>
      <c r="AR362" s="110"/>
      <c r="AS362" s="111"/>
      <c r="AT362" s="111">
        <f t="shared" si="144"/>
        <v>-6.774891959728848</v>
      </c>
      <c r="AU362" s="121"/>
      <c r="AV362" s="111"/>
      <c r="AW362" s="111"/>
      <c r="AX362" s="111"/>
      <c r="AY362" s="116"/>
      <c r="AZ362" s="172">
        <f t="shared" si="129"/>
        <v>0</v>
      </c>
      <c r="BA362" s="130">
        <v>212430.33</v>
      </c>
    </row>
    <row r="363" spans="1:53" ht="12.75">
      <c r="A363" s="118" t="s">
        <v>449</v>
      </c>
      <c r="B363" s="117" t="s">
        <v>450</v>
      </c>
      <c r="C363" s="1">
        <v>322.3</v>
      </c>
      <c r="D363" s="1">
        <v>0</v>
      </c>
      <c r="E363" s="7">
        <f t="shared" si="131"/>
        <v>322.3</v>
      </c>
      <c r="F363" s="5">
        <v>0</v>
      </c>
      <c r="G363" s="5">
        <v>1.84</v>
      </c>
      <c r="H363" s="5">
        <f t="shared" si="132"/>
        <v>1.84</v>
      </c>
      <c r="I363" s="28">
        <f t="shared" si="133"/>
        <v>3558.192</v>
      </c>
      <c r="J363" s="5">
        <f t="shared" si="134"/>
        <v>0</v>
      </c>
      <c r="K363" s="5">
        <f t="shared" si="135"/>
        <v>1.9679192306399997</v>
      </c>
      <c r="L363" s="27">
        <f t="shared" si="136"/>
        <v>1.9679192306399997</v>
      </c>
      <c r="M363" s="61">
        <f>L363*E363*0</f>
        <v>0</v>
      </c>
      <c r="N363" s="34">
        <f t="shared" si="138"/>
        <v>3558.192</v>
      </c>
      <c r="O363" s="34">
        <v>0.01</v>
      </c>
      <c r="P363" s="34"/>
      <c r="Q363" s="5">
        <f t="shared" si="139"/>
        <v>3558.182</v>
      </c>
      <c r="R363" s="30">
        <f t="shared" si="130"/>
        <v>3558.182</v>
      </c>
      <c r="S363" s="1">
        <v>593.03</v>
      </c>
      <c r="T363" s="1">
        <v>593.03</v>
      </c>
      <c r="U363" s="1">
        <v>593.03</v>
      </c>
      <c r="V363" s="1">
        <v>593.03</v>
      </c>
      <c r="W363" s="1">
        <v>593.03</v>
      </c>
      <c r="X363" s="1">
        <v>593.03</v>
      </c>
      <c r="Y363" s="1">
        <v>634.93</v>
      </c>
      <c r="Z363" s="1">
        <v>0</v>
      </c>
      <c r="AA363" s="1">
        <v>0</v>
      </c>
      <c r="AB363" s="1">
        <v>0</v>
      </c>
      <c r="AC363" s="165">
        <f t="shared" si="140"/>
        <v>4193.11</v>
      </c>
      <c r="AD363" s="1">
        <v>0</v>
      </c>
      <c r="AE363" s="1">
        <v>0</v>
      </c>
      <c r="AF363" s="1"/>
      <c r="AG363" s="1">
        <v>0</v>
      </c>
      <c r="AH363" s="1">
        <v>0</v>
      </c>
      <c r="AI363" s="1">
        <v>0</v>
      </c>
      <c r="AJ363" s="6">
        <f t="shared" si="141"/>
        <v>4193.11</v>
      </c>
      <c r="AK363" s="1"/>
      <c r="AL363" s="1"/>
      <c r="AM363" s="1"/>
      <c r="AN363" s="1"/>
      <c r="AO363" s="6">
        <f t="shared" si="142"/>
        <v>4193.11</v>
      </c>
      <c r="AP363" s="91">
        <f t="shared" si="143"/>
        <v>-634.9279999999999</v>
      </c>
      <c r="AQ363" s="10"/>
      <c r="AR363" s="10"/>
      <c r="AS363" s="34"/>
      <c r="AT363" s="116">
        <f t="shared" si="144"/>
        <v>-634.9279999999999</v>
      </c>
      <c r="AU363" s="116"/>
      <c r="AV363" s="116"/>
      <c r="AW363" s="116"/>
      <c r="AX363" s="116">
        <f>AT363+AU363-AV363</f>
        <v>-634.9279999999999</v>
      </c>
      <c r="AY363" s="116"/>
      <c r="AZ363" s="172">
        <f t="shared" si="129"/>
        <v>-634.9279999999999</v>
      </c>
      <c r="BA363" s="116"/>
    </row>
    <row r="364" spans="1:53" ht="12.75">
      <c r="A364" s="1">
        <v>81</v>
      </c>
      <c r="B364" s="117" t="s">
        <v>451</v>
      </c>
      <c r="C364" s="1">
        <v>312.5</v>
      </c>
      <c r="D364" s="1">
        <v>0</v>
      </c>
      <c r="E364" s="7">
        <f t="shared" si="131"/>
        <v>312.5</v>
      </c>
      <c r="F364" s="5">
        <v>0</v>
      </c>
      <c r="G364" s="5">
        <v>1.84</v>
      </c>
      <c r="H364" s="5">
        <f t="shared" si="132"/>
        <v>1.84</v>
      </c>
      <c r="I364" s="28">
        <f t="shared" si="133"/>
        <v>3450</v>
      </c>
      <c r="J364" s="5">
        <f t="shared" si="134"/>
        <v>0</v>
      </c>
      <c r="K364" s="5">
        <f t="shared" si="135"/>
        <v>1.9679192306399997</v>
      </c>
      <c r="L364" s="27">
        <f t="shared" si="136"/>
        <v>1.9679192306399997</v>
      </c>
      <c r="M364" s="61">
        <f>L364*E364*0</f>
        <v>0</v>
      </c>
      <c r="N364" s="34">
        <f t="shared" si="138"/>
        <v>3450</v>
      </c>
      <c r="O364" s="34"/>
      <c r="P364" s="34"/>
      <c r="Q364" s="5">
        <f t="shared" si="139"/>
        <v>3450</v>
      </c>
      <c r="R364" s="30">
        <f t="shared" si="130"/>
        <v>3450</v>
      </c>
      <c r="S364" s="1">
        <v>546.88</v>
      </c>
      <c r="T364" s="1">
        <v>546.88</v>
      </c>
      <c r="U364" s="1">
        <v>546.88</v>
      </c>
      <c r="V364" s="1">
        <v>546.88</v>
      </c>
      <c r="W364" s="1">
        <v>575</v>
      </c>
      <c r="X364" s="1">
        <v>546.88</v>
      </c>
      <c r="Y364" s="1">
        <v>615.63</v>
      </c>
      <c r="Z364" s="1">
        <v>0</v>
      </c>
      <c r="AA364" s="1">
        <v>0</v>
      </c>
      <c r="AB364" s="1">
        <v>0</v>
      </c>
      <c r="AC364" s="165">
        <f t="shared" si="140"/>
        <v>3925.03</v>
      </c>
      <c r="AD364" s="1">
        <v>0</v>
      </c>
      <c r="AE364" s="1">
        <v>0</v>
      </c>
      <c r="AF364" s="1"/>
      <c r="AG364" s="1">
        <v>0</v>
      </c>
      <c r="AH364" s="1">
        <v>0</v>
      </c>
      <c r="AI364" s="1">
        <v>0</v>
      </c>
      <c r="AJ364" s="6">
        <f t="shared" si="141"/>
        <v>3925.03</v>
      </c>
      <c r="AK364" s="1"/>
      <c r="AL364" s="1"/>
      <c r="AM364" s="1"/>
      <c r="AN364" s="1"/>
      <c r="AO364" s="6">
        <f t="shared" si="142"/>
        <v>3925.03</v>
      </c>
      <c r="AP364" s="91">
        <f t="shared" si="143"/>
        <v>-475.0300000000002</v>
      </c>
      <c r="AQ364" s="10"/>
      <c r="AR364" s="10"/>
      <c r="AS364" s="34"/>
      <c r="AT364" s="116">
        <f t="shared" si="144"/>
        <v>-475.0300000000002</v>
      </c>
      <c r="AU364" s="116"/>
      <c r="AV364" s="116"/>
      <c r="AW364" s="116"/>
      <c r="AX364" s="116">
        <f>AT364+AU364-AV364</f>
        <v>-475.0300000000002</v>
      </c>
      <c r="AY364" s="116"/>
      <c r="AZ364" s="172">
        <f t="shared" si="129"/>
        <v>-475.0300000000002</v>
      </c>
      <c r="BA364" s="116"/>
    </row>
    <row r="365" spans="1:53" ht="12.75">
      <c r="A365" s="1">
        <v>82</v>
      </c>
      <c r="B365" s="117" t="s">
        <v>457</v>
      </c>
      <c r="C365" s="6">
        <v>238.3</v>
      </c>
      <c r="D365" s="6">
        <v>148.4</v>
      </c>
      <c r="E365" s="25">
        <f t="shared" si="131"/>
        <v>386.70000000000005</v>
      </c>
      <c r="F365" s="5">
        <v>0</v>
      </c>
      <c r="G365" s="5">
        <v>1.84</v>
      </c>
      <c r="H365" s="5">
        <f t="shared" si="132"/>
        <v>1.84</v>
      </c>
      <c r="I365" s="28">
        <f>E365*H365*3</f>
        <v>2134.5840000000003</v>
      </c>
      <c r="J365" s="5">
        <f t="shared" si="134"/>
        <v>0</v>
      </c>
      <c r="K365" s="5">
        <f t="shared" si="135"/>
        <v>1.9679192306399997</v>
      </c>
      <c r="L365" s="27">
        <f t="shared" si="136"/>
        <v>1.9679192306399997</v>
      </c>
      <c r="M365" s="61">
        <f>L365*E365*0</f>
        <v>0</v>
      </c>
      <c r="N365" s="34">
        <f t="shared" si="138"/>
        <v>2134.5840000000003</v>
      </c>
      <c r="O365" s="34"/>
      <c r="P365" s="34"/>
      <c r="Q365" s="5">
        <f t="shared" si="139"/>
        <v>2134.5840000000003</v>
      </c>
      <c r="R365" s="30">
        <f t="shared" si="130"/>
        <v>2134.5840000000003</v>
      </c>
      <c r="S365" s="1">
        <v>711.53</v>
      </c>
      <c r="T365" s="1">
        <v>711.53</v>
      </c>
      <c r="U365" s="1">
        <v>711.53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65">
        <f t="shared" si="140"/>
        <v>2134.59</v>
      </c>
      <c r="AD365" s="1">
        <v>0</v>
      </c>
      <c r="AE365" s="1">
        <v>0</v>
      </c>
      <c r="AF365" s="1"/>
      <c r="AG365" s="1">
        <v>0</v>
      </c>
      <c r="AH365" s="1">
        <v>0</v>
      </c>
      <c r="AI365" s="1">
        <v>0</v>
      </c>
      <c r="AJ365" s="6">
        <f t="shared" si="141"/>
        <v>2134.59</v>
      </c>
      <c r="AK365" s="1"/>
      <c r="AL365" s="1"/>
      <c r="AM365" s="1"/>
      <c r="AN365" s="1"/>
      <c r="AO365" s="6">
        <f t="shared" si="142"/>
        <v>2134.59</v>
      </c>
      <c r="AP365" s="91">
        <f t="shared" si="143"/>
        <v>-0.005999999999858119</v>
      </c>
      <c r="AQ365" s="10"/>
      <c r="AR365" s="10"/>
      <c r="AS365" s="34"/>
      <c r="AT365" s="116">
        <f t="shared" si="144"/>
        <v>-0.005999999999858119</v>
      </c>
      <c r="AU365" s="116"/>
      <c r="AV365" s="116"/>
      <c r="AW365" s="116"/>
      <c r="AX365" s="116">
        <f>AT365+AU365-AV365</f>
        <v>-0.005999999999858119</v>
      </c>
      <c r="AY365" s="116"/>
      <c r="AZ365" s="172">
        <f t="shared" si="129"/>
        <v>-0.005999999999858119</v>
      </c>
      <c r="BA365" s="116"/>
    </row>
    <row r="366" spans="1:53" ht="12.75">
      <c r="A366" s="1">
        <v>83</v>
      </c>
      <c r="B366" s="84" t="s">
        <v>234</v>
      </c>
      <c r="C366" s="6">
        <v>207.4</v>
      </c>
      <c r="D366" s="6">
        <v>0</v>
      </c>
      <c r="E366" s="25">
        <f t="shared" si="131"/>
        <v>207.4</v>
      </c>
      <c r="F366" s="5">
        <v>0</v>
      </c>
      <c r="G366" s="5">
        <v>1.84</v>
      </c>
      <c r="H366" s="5">
        <f t="shared" si="132"/>
        <v>1.84</v>
      </c>
      <c r="I366" s="28">
        <f t="shared" si="133"/>
        <v>2289.6960000000004</v>
      </c>
      <c r="J366" s="5">
        <f t="shared" si="134"/>
        <v>0</v>
      </c>
      <c r="K366" s="5">
        <f t="shared" si="135"/>
        <v>1.9679192306399997</v>
      </c>
      <c r="L366" s="27">
        <f t="shared" si="136"/>
        <v>1.9679192306399997</v>
      </c>
      <c r="M366" s="61">
        <f t="shared" si="137"/>
        <v>2448.8786906084156</v>
      </c>
      <c r="N366" s="34">
        <f t="shared" si="138"/>
        <v>4738.574690608416</v>
      </c>
      <c r="O366" s="34">
        <v>4159.98</v>
      </c>
      <c r="P366" s="34"/>
      <c r="Q366" s="5">
        <f t="shared" si="139"/>
        <v>578.5946906084164</v>
      </c>
      <c r="R366" s="30">
        <v>4579.39</v>
      </c>
      <c r="S366" s="1">
        <v>381.62</v>
      </c>
      <c r="T366" s="1">
        <v>381.62</v>
      </c>
      <c r="U366" s="1">
        <v>381.62</v>
      </c>
      <c r="V366" s="1">
        <v>381.62</v>
      </c>
      <c r="W366" s="1">
        <v>381.62</v>
      </c>
      <c r="X366" s="1">
        <v>381.62</v>
      </c>
      <c r="Y366" s="1">
        <v>408.58</v>
      </c>
      <c r="Z366" s="1">
        <v>408.58</v>
      </c>
      <c r="AA366" s="1">
        <v>408.58</v>
      </c>
      <c r="AB366" s="1">
        <v>158.16</v>
      </c>
      <c r="AC366" s="165">
        <f t="shared" si="140"/>
        <v>3673.6199999999994</v>
      </c>
      <c r="AD366" s="1">
        <v>0</v>
      </c>
      <c r="AE366" s="1">
        <v>250.42</v>
      </c>
      <c r="AF366" s="1">
        <v>0</v>
      </c>
      <c r="AG366" s="1">
        <v>408.58</v>
      </c>
      <c r="AH366" s="1">
        <v>0</v>
      </c>
      <c r="AI366" s="1">
        <v>408.58</v>
      </c>
      <c r="AJ366" s="6">
        <f t="shared" si="141"/>
        <v>4741.2</v>
      </c>
      <c r="AK366" s="1"/>
      <c r="AL366" s="1"/>
      <c r="AM366" s="1"/>
      <c r="AN366" s="1"/>
      <c r="AO366" s="6">
        <f t="shared" si="142"/>
        <v>4741.2</v>
      </c>
      <c r="AP366" s="136">
        <f t="shared" si="143"/>
        <v>-161.8099999999995</v>
      </c>
      <c r="AQ366" s="110"/>
      <c r="AR366" s="110"/>
      <c r="AS366" s="111"/>
      <c r="AT366" s="111">
        <f t="shared" si="144"/>
        <v>-161.8099999999995</v>
      </c>
      <c r="AU366" s="121"/>
      <c r="AV366" s="111"/>
      <c r="AW366" s="111"/>
      <c r="AX366" s="111"/>
      <c r="AY366" s="116"/>
      <c r="AZ366" s="172">
        <f t="shared" si="129"/>
        <v>0</v>
      </c>
      <c r="BA366" s="130">
        <v>72484.38</v>
      </c>
    </row>
    <row r="367" spans="1:53" ht="12.75">
      <c r="A367" s="1">
        <v>84</v>
      </c>
      <c r="B367" s="117" t="s">
        <v>458</v>
      </c>
      <c r="C367" s="6">
        <v>401.4</v>
      </c>
      <c r="D367" s="6">
        <v>0</v>
      </c>
      <c r="E367" s="25">
        <f t="shared" si="131"/>
        <v>401.4</v>
      </c>
      <c r="F367" s="5">
        <v>0</v>
      </c>
      <c r="G367" s="5">
        <v>1.84</v>
      </c>
      <c r="H367" s="5">
        <f t="shared" si="132"/>
        <v>1.84</v>
      </c>
      <c r="I367" s="28">
        <f>E367*H367*3</f>
        <v>2215.728</v>
      </c>
      <c r="J367" s="5">
        <f t="shared" si="134"/>
        <v>0</v>
      </c>
      <c r="K367" s="5">
        <f t="shared" si="135"/>
        <v>1.9679192306399997</v>
      </c>
      <c r="L367" s="27">
        <f t="shared" si="136"/>
        <v>1.9679192306399997</v>
      </c>
      <c r="M367" s="61">
        <f>L367*E367*0</f>
        <v>0</v>
      </c>
      <c r="N367" s="34">
        <f t="shared" si="138"/>
        <v>2215.728</v>
      </c>
      <c r="O367" s="34"/>
      <c r="P367" s="34"/>
      <c r="Q367" s="5">
        <f t="shared" si="139"/>
        <v>2215.728</v>
      </c>
      <c r="R367" s="30">
        <f t="shared" si="130"/>
        <v>2215.728</v>
      </c>
      <c r="S367" s="1">
        <v>738.58</v>
      </c>
      <c r="T367" s="1">
        <v>738.58</v>
      </c>
      <c r="U367" s="1">
        <v>738.58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65">
        <f t="shared" si="140"/>
        <v>2215.7400000000002</v>
      </c>
      <c r="AD367" s="1">
        <v>0</v>
      </c>
      <c r="AE367" s="1">
        <v>0</v>
      </c>
      <c r="AF367" s="1"/>
      <c r="AG367" s="1">
        <v>0</v>
      </c>
      <c r="AH367" s="1">
        <v>0</v>
      </c>
      <c r="AI367" s="1">
        <v>0</v>
      </c>
      <c r="AJ367" s="6">
        <f t="shared" si="141"/>
        <v>2215.7400000000002</v>
      </c>
      <c r="AK367" s="1"/>
      <c r="AL367" s="1"/>
      <c r="AM367" s="1"/>
      <c r="AN367" s="1"/>
      <c r="AO367" s="6">
        <f t="shared" si="142"/>
        <v>2215.7400000000002</v>
      </c>
      <c r="AP367" s="91">
        <f t="shared" si="143"/>
        <v>-0.012000000000170985</v>
      </c>
      <c r="AQ367" s="10"/>
      <c r="AR367" s="10"/>
      <c r="AS367" s="34"/>
      <c r="AT367" s="116">
        <f t="shared" si="144"/>
        <v>-0.012000000000170985</v>
      </c>
      <c r="AU367" s="116"/>
      <c r="AV367" s="116"/>
      <c r="AW367" s="116"/>
      <c r="AX367" s="116">
        <f>AT367+AU367-AV367</f>
        <v>-0.012000000000170985</v>
      </c>
      <c r="AY367" s="116"/>
      <c r="AZ367" s="172">
        <f t="shared" si="129"/>
        <v>-0.012000000000170985</v>
      </c>
      <c r="BA367" s="116"/>
    </row>
    <row r="368" spans="1:53" ht="12.75">
      <c r="A368" s="1">
        <v>85</v>
      </c>
      <c r="B368" s="10" t="s">
        <v>344</v>
      </c>
      <c r="C368" s="1">
        <v>166.7</v>
      </c>
      <c r="D368" s="1">
        <v>0</v>
      </c>
      <c r="E368" s="7">
        <f t="shared" si="131"/>
        <v>166.7</v>
      </c>
      <c r="F368" s="5">
        <v>0</v>
      </c>
      <c r="G368" s="5">
        <v>1.84</v>
      </c>
      <c r="H368" s="5">
        <f t="shared" si="132"/>
        <v>1.84</v>
      </c>
      <c r="I368" s="28">
        <f t="shared" si="133"/>
        <v>1840.368</v>
      </c>
      <c r="J368" s="5">
        <f t="shared" si="134"/>
        <v>0</v>
      </c>
      <c r="K368" s="5">
        <f t="shared" si="135"/>
        <v>1.9679192306399997</v>
      </c>
      <c r="L368" s="27">
        <f t="shared" si="136"/>
        <v>1.9679192306399997</v>
      </c>
      <c r="M368" s="61">
        <f t="shared" si="137"/>
        <v>1968.3128144861275</v>
      </c>
      <c r="N368" s="34">
        <f t="shared" si="138"/>
        <v>3808.6808144861275</v>
      </c>
      <c r="O368" s="34">
        <v>0.03</v>
      </c>
      <c r="P368" s="34"/>
      <c r="Q368" s="5">
        <f t="shared" si="139"/>
        <v>3808.6508144861273</v>
      </c>
      <c r="R368" s="30">
        <f t="shared" si="130"/>
        <v>3808.6508144861273</v>
      </c>
      <c r="S368" s="1">
        <v>306.73</v>
      </c>
      <c r="T368" s="1">
        <v>306.73</v>
      </c>
      <c r="U368" s="1">
        <v>306.73</v>
      </c>
      <c r="V368" s="1">
        <v>306.73</v>
      </c>
      <c r="W368" s="1">
        <v>306.73</v>
      </c>
      <c r="X368" s="1">
        <v>306.73</v>
      </c>
      <c r="Y368" s="1">
        <v>328.4</v>
      </c>
      <c r="Z368" s="1">
        <v>328.4</v>
      </c>
      <c r="AA368" s="1">
        <v>328.4</v>
      </c>
      <c r="AB368" s="1">
        <v>127.12</v>
      </c>
      <c r="AC368" s="165">
        <f t="shared" si="140"/>
        <v>2952.7000000000003</v>
      </c>
      <c r="AD368" s="1">
        <v>0</v>
      </c>
      <c r="AE368" s="1">
        <v>201.28</v>
      </c>
      <c r="AF368" s="1"/>
      <c r="AG368" s="1">
        <v>328.4</v>
      </c>
      <c r="AH368" s="1">
        <v>0</v>
      </c>
      <c r="AI368" s="1">
        <v>328.4</v>
      </c>
      <c r="AJ368" s="6">
        <f t="shared" si="141"/>
        <v>3810.7800000000007</v>
      </c>
      <c r="AK368" s="1"/>
      <c r="AL368" s="1"/>
      <c r="AM368" s="1"/>
      <c r="AN368" s="1"/>
      <c r="AO368" s="6">
        <f t="shared" si="142"/>
        <v>3810.7800000000007</v>
      </c>
      <c r="AP368" s="136">
        <f t="shared" si="143"/>
        <v>-2.129185513873381</v>
      </c>
      <c r="AQ368" s="110"/>
      <c r="AR368" s="110"/>
      <c r="AS368" s="111"/>
      <c r="AT368" s="111">
        <f t="shared" si="144"/>
        <v>-2.129185513873381</v>
      </c>
      <c r="AU368" s="121"/>
      <c r="AV368" s="111"/>
      <c r="AW368" s="111"/>
      <c r="AX368" s="111"/>
      <c r="AY368" s="116"/>
      <c r="AZ368" s="172">
        <f t="shared" si="129"/>
        <v>0</v>
      </c>
      <c r="BA368" s="130">
        <v>32058.27</v>
      </c>
    </row>
    <row r="369" spans="1:53" ht="12.75">
      <c r="A369" s="1">
        <v>86</v>
      </c>
      <c r="B369" s="10" t="s">
        <v>345</v>
      </c>
      <c r="C369" s="1">
        <v>323.6</v>
      </c>
      <c r="D369" s="1">
        <v>0</v>
      </c>
      <c r="E369" s="7">
        <f t="shared" si="131"/>
        <v>323.6</v>
      </c>
      <c r="F369" s="5">
        <v>0</v>
      </c>
      <c r="G369" s="5">
        <v>1.84</v>
      </c>
      <c r="H369" s="5">
        <f t="shared" si="132"/>
        <v>1.84</v>
      </c>
      <c r="I369" s="28">
        <f t="shared" si="133"/>
        <v>3572.544000000001</v>
      </c>
      <c r="J369" s="5">
        <f t="shared" si="134"/>
        <v>0</v>
      </c>
      <c r="K369" s="5">
        <f t="shared" si="135"/>
        <v>1.9679192306399997</v>
      </c>
      <c r="L369" s="27">
        <f t="shared" si="136"/>
        <v>1.9679192306399997</v>
      </c>
      <c r="M369" s="61">
        <f t="shared" si="137"/>
        <v>3820.911978210624</v>
      </c>
      <c r="N369" s="34">
        <f t="shared" si="138"/>
        <v>7393.455978210624</v>
      </c>
      <c r="O369" s="34"/>
      <c r="P369" s="34"/>
      <c r="Q369" s="5">
        <f t="shared" si="139"/>
        <v>7393.455978210624</v>
      </c>
      <c r="R369" s="30">
        <f t="shared" si="130"/>
        <v>7393.455978210624</v>
      </c>
      <c r="S369" s="1">
        <v>595.42</v>
      </c>
      <c r="T369" s="1">
        <v>595.42</v>
      </c>
      <c r="U369" s="1">
        <v>595.42</v>
      </c>
      <c r="V369" s="1">
        <v>595.42</v>
      </c>
      <c r="W369" s="1">
        <v>595.42</v>
      </c>
      <c r="X369" s="1">
        <v>595.42</v>
      </c>
      <c r="Y369" s="1">
        <v>637.49</v>
      </c>
      <c r="Z369" s="1">
        <v>637.49</v>
      </c>
      <c r="AA369" s="1">
        <v>637.49</v>
      </c>
      <c r="AB369" s="1">
        <v>246.77</v>
      </c>
      <c r="AC369" s="165">
        <f t="shared" si="140"/>
        <v>5731.76</v>
      </c>
      <c r="AD369" s="1">
        <v>0</v>
      </c>
      <c r="AE369" s="1">
        <v>390.72</v>
      </c>
      <c r="AF369" s="1"/>
      <c r="AG369" s="1">
        <v>637.49</v>
      </c>
      <c r="AH369" s="1">
        <v>0</v>
      </c>
      <c r="AI369" s="1">
        <v>637.49</v>
      </c>
      <c r="AJ369" s="6">
        <f t="shared" si="141"/>
        <v>7397.46</v>
      </c>
      <c r="AK369" s="1"/>
      <c r="AL369" s="1"/>
      <c r="AM369" s="1"/>
      <c r="AN369" s="1"/>
      <c r="AO369" s="6">
        <f t="shared" si="142"/>
        <v>7397.46</v>
      </c>
      <c r="AP369" s="136">
        <f t="shared" si="143"/>
        <v>-4.004021789375656</v>
      </c>
      <c r="AQ369" s="110"/>
      <c r="AR369" s="110"/>
      <c r="AS369" s="111"/>
      <c r="AT369" s="111">
        <f t="shared" si="144"/>
        <v>-4.004021789375656</v>
      </c>
      <c r="AU369" s="121"/>
      <c r="AV369" s="111"/>
      <c r="AW369" s="111"/>
      <c r="AX369" s="111"/>
      <c r="AY369" s="116"/>
      <c r="AZ369" s="172">
        <f t="shared" si="129"/>
        <v>0</v>
      </c>
      <c r="BA369" s="130">
        <v>46896.55</v>
      </c>
    </row>
    <row r="370" spans="1:53" ht="12.75">
      <c r="A370" s="1">
        <v>87</v>
      </c>
      <c r="B370" s="10" t="s">
        <v>346</v>
      </c>
      <c r="C370" s="1">
        <v>116.2</v>
      </c>
      <c r="D370" s="1">
        <v>0</v>
      </c>
      <c r="E370" s="7">
        <f t="shared" si="131"/>
        <v>116.2</v>
      </c>
      <c r="F370" s="5">
        <v>0</v>
      </c>
      <c r="G370" s="5">
        <v>1.84</v>
      </c>
      <c r="H370" s="5">
        <f t="shared" si="132"/>
        <v>1.84</v>
      </c>
      <c r="I370" s="28">
        <f t="shared" si="133"/>
        <v>1282.8480000000002</v>
      </c>
      <c r="J370" s="5">
        <f t="shared" si="134"/>
        <v>0</v>
      </c>
      <c r="K370" s="5">
        <f t="shared" si="135"/>
        <v>1.9679192306399997</v>
      </c>
      <c r="L370" s="27">
        <f t="shared" si="136"/>
        <v>1.9679192306399997</v>
      </c>
      <c r="M370" s="61">
        <f t="shared" si="137"/>
        <v>1372.0332876022078</v>
      </c>
      <c r="N370" s="34">
        <f t="shared" si="138"/>
        <v>2654.881287602208</v>
      </c>
      <c r="O370" s="34">
        <v>0.01</v>
      </c>
      <c r="P370" s="34"/>
      <c r="Q370" s="5">
        <f t="shared" si="139"/>
        <v>2654.8712876022078</v>
      </c>
      <c r="R370" s="30">
        <f t="shared" si="130"/>
        <v>2654.8712876022078</v>
      </c>
      <c r="S370" s="1">
        <v>213.81</v>
      </c>
      <c r="T370" s="1">
        <v>213.81</v>
      </c>
      <c r="U370" s="1">
        <v>213.81</v>
      </c>
      <c r="V370" s="1">
        <v>213.81</v>
      </c>
      <c r="W370" s="1">
        <v>213.81</v>
      </c>
      <c r="X370" s="1">
        <v>213.81</v>
      </c>
      <c r="Y370" s="1">
        <v>228.91</v>
      </c>
      <c r="Z370" s="1">
        <v>228.91</v>
      </c>
      <c r="AA370" s="1">
        <v>228.91</v>
      </c>
      <c r="AB370" s="1">
        <v>88.61</v>
      </c>
      <c r="AC370" s="165">
        <f t="shared" si="140"/>
        <v>2058.2000000000003</v>
      </c>
      <c r="AD370" s="1">
        <v>0</v>
      </c>
      <c r="AE370" s="1">
        <v>140.3</v>
      </c>
      <c r="AF370" s="1"/>
      <c r="AG370" s="1">
        <v>228.91</v>
      </c>
      <c r="AH370" s="1">
        <v>0</v>
      </c>
      <c r="AI370" s="1">
        <v>228.91</v>
      </c>
      <c r="AJ370" s="6">
        <f t="shared" si="141"/>
        <v>2656.32</v>
      </c>
      <c r="AK370" s="1"/>
      <c r="AL370" s="1"/>
      <c r="AM370" s="1"/>
      <c r="AN370" s="1"/>
      <c r="AO370" s="6">
        <f t="shared" si="142"/>
        <v>2656.32</v>
      </c>
      <c r="AP370" s="136">
        <f t="shared" si="143"/>
        <v>-1.4487123977924057</v>
      </c>
      <c r="AQ370" s="110"/>
      <c r="AR370" s="110"/>
      <c r="AS370" s="111"/>
      <c r="AT370" s="111">
        <f t="shared" si="144"/>
        <v>-1.4487123977924057</v>
      </c>
      <c r="AU370" s="121"/>
      <c r="AV370" s="111"/>
      <c r="AW370" s="111"/>
      <c r="AX370" s="111"/>
      <c r="AY370" s="116"/>
      <c r="AZ370" s="172">
        <f t="shared" si="129"/>
        <v>0</v>
      </c>
      <c r="BA370" s="130">
        <v>25567.05</v>
      </c>
    </row>
    <row r="371" spans="1:53" ht="12.75">
      <c r="A371" s="1">
        <v>88</v>
      </c>
      <c r="B371" s="10" t="s">
        <v>347</v>
      </c>
      <c r="C371" s="1">
        <v>377.5</v>
      </c>
      <c r="D371" s="1">
        <v>0</v>
      </c>
      <c r="E371" s="7">
        <f t="shared" si="131"/>
        <v>377.5</v>
      </c>
      <c r="F371" s="5">
        <v>0</v>
      </c>
      <c r="G371" s="5">
        <v>2.8</v>
      </c>
      <c r="H371" s="5">
        <f t="shared" si="132"/>
        <v>2.8</v>
      </c>
      <c r="I371" s="28">
        <f t="shared" si="133"/>
        <v>6342</v>
      </c>
      <c r="J371" s="5">
        <f t="shared" si="134"/>
        <v>0</v>
      </c>
      <c r="K371" s="5">
        <f t="shared" si="135"/>
        <v>2.994659698799999</v>
      </c>
      <c r="L371" s="27">
        <f t="shared" si="136"/>
        <v>2.994659698799999</v>
      </c>
      <c r="M371" s="61">
        <f t="shared" si="137"/>
        <v>6782.904217781997</v>
      </c>
      <c r="N371" s="34">
        <f t="shared" si="138"/>
        <v>13124.904217781997</v>
      </c>
      <c r="O371" s="34"/>
      <c r="P371" s="34"/>
      <c r="Q371" s="5">
        <f t="shared" si="139"/>
        <v>13124.904217781997</v>
      </c>
      <c r="R371" s="30">
        <f t="shared" si="130"/>
        <v>13124.904217781997</v>
      </c>
      <c r="S371" s="1">
        <v>694.6</v>
      </c>
      <c r="T371" s="1">
        <v>868.87</v>
      </c>
      <c r="U371" s="1">
        <v>694.6</v>
      </c>
      <c r="V371" s="1">
        <v>694.6</v>
      </c>
      <c r="W371" s="1">
        <v>694.6</v>
      </c>
      <c r="X371" s="1">
        <v>694.6</v>
      </c>
      <c r="Y371" s="1">
        <v>743.68</v>
      </c>
      <c r="Z371" s="1">
        <v>743.68</v>
      </c>
      <c r="AA371" s="1">
        <v>743.68</v>
      </c>
      <c r="AB371" s="1">
        <v>287.87</v>
      </c>
      <c r="AC371" s="165">
        <f t="shared" si="140"/>
        <v>6860.780000000001</v>
      </c>
      <c r="AD371" s="1">
        <v>0</v>
      </c>
      <c r="AE371" s="1">
        <v>455.8</v>
      </c>
      <c r="AF371" s="1"/>
      <c r="AG371" s="1">
        <v>1886.57</v>
      </c>
      <c r="AH371" s="1">
        <v>0</v>
      </c>
      <c r="AI371" s="1">
        <v>1743.68</v>
      </c>
      <c r="AJ371" s="6">
        <f t="shared" si="141"/>
        <v>10946.830000000002</v>
      </c>
      <c r="AK371" s="1"/>
      <c r="AL371" s="1"/>
      <c r="AM371" s="1"/>
      <c r="AN371" s="1"/>
      <c r="AO371" s="6">
        <f t="shared" si="142"/>
        <v>10946.830000000002</v>
      </c>
      <c r="AP371" s="91">
        <f t="shared" si="143"/>
        <v>2178.0742177819957</v>
      </c>
      <c r="AQ371" s="10"/>
      <c r="AR371" s="10"/>
      <c r="AS371" s="34"/>
      <c r="AT371" s="116">
        <f t="shared" si="144"/>
        <v>2178.0742177819957</v>
      </c>
      <c r="AU371" s="134"/>
      <c r="AV371" s="116"/>
      <c r="AW371" s="116"/>
      <c r="AX371" s="116">
        <f>AT371+AU371-AV371</f>
        <v>2178.0742177819957</v>
      </c>
      <c r="AY371" s="134"/>
      <c r="AZ371" s="172">
        <f t="shared" si="129"/>
        <v>2178.0742177819957</v>
      </c>
      <c r="BA371" s="127">
        <v>38334.54</v>
      </c>
    </row>
    <row r="372" spans="1:53" ht="12.75">
      <c r="A372" s="1">
        <v>89</v>
      </c>
      <c r="B372" s="10" t="s">
        <v>348</v>
      </c>
      <c r="C372" s="1">
        <v>385.4</v>
      </c>
      <c r="D372" s="1">
        <v>0</v>
      </c>
      <c r="E372" s="7">
        <f t="shared" si="131"/>
        <v>385.4</v>
      </c>
      <c r="F372" s="5">
        <v>0</v>
      </c>
      <c r="G372" s="5">
        <v>2.8</v>
      </c>
      <c r="H372" s="5">
        <f t="shared" si="132"/>
        <v>2.8</v>
      </c>
      <c r="I372" s="28">
        <f t="shared" si="133"/>
        <v>6474.719999999999</v>
      </c>
      <c r="J372" s="5">
        <f t="shared" si="134"/>
        <v>0</v>
      </c>
      <c r="K372" s="5">
        <f t="shared" si="135"/>
        <v>2.994659698799999</v>
      </c>
      <c r="L372" s="27">
        <f t="shared" si="136"/>
        <v>2.994659698799999</v>
      </c>
      <c r="M372" s="61">
        <f t="shared" si="137"/>
        <v>6924.851087505117</v>
      </c>
      <c r="N372" s="34">
        <f t="shared" si="138"/>
        <v>13399.571087505115</v>
      </c>
      <c r="O372" s="34">
        <v>3867.37</v>
      </c>
      <c r="P372" s="34">
        <v>3207.44</v>
      </c>
      <c r="Q372" s="5">
        <f t="shared" si="139"/>
        <v>9532.201087505116</v>
      </c>
      <c r="R372" s="30">
        <f t="shared" si="130"/>
        <v>12739.641087505117</v>
      </c>
      <c r="S372" s="1">
        <v>709.14</v>
      </c>
      <c r="T372" s="1">
        <v>883.41</v>
      </c>
      <c r="U372" s="1">
        <v>883.41</v>
      </c>
      <c r="V372" s="1">
        <v>709.14</v>
      </c>
      <c r="W372" s="1">
        <v>709.14</v>
      </c>
      <c r="X372" s="1">
        <v>709.14</v>
      </c>
      <c r="Y372" s="1">
        <v>759.24</v>
      </c>
      <c r="Z372" s="1">
        <v>759.24</v>
      </c>
      <c r="AA372" s="1">
        <v>759.24</v>
      </c>
      <c r="AB372" s="1">
        <v>293.9</v>
      </c>
      <c r="AC372" s="165">
        <f t="shared" si="140"/>
        <v>7174.999999999999</v>
      </c>
      <c r="AD372" s="1">
        <v>0</v>
      </c>
      <c r="AE372" s="1">
        <v>962.74</v>
      </c>
      <c r="AF372" s="1"/>
      <c r="AG372" s="1">
        <v>1902.13</v>
      </c>
      <c r="AH372" s="1">
        <v>0</v>
      </c>
      <c r="AI372" s="1">
        <v>1759.24</v>
      </c>
      <c r="AJ372" s="6">
        <f t="shared" si="141"/>
        <v>11799.109999999999</v>
      </c>
      <c r="AK372" s="1"/>
      <c r="AL372" s="1"/>
      <c r="AM372" s="1"/>
      <c r="AN372" s="1"/>
      <c r="AO372" s="6">
        <f t="shared" si="142"/>
        <v>11799.109999999999</v>
      </c>
      <c r="AP372" s="91">
        <f t="shared" si="143"/>
        <v>940.5310875051182</v>
      </c>
      <c r="AQ372" s="10"/>
      <c r="AR372" s="10"/>
      <c r="AS372" s="34"/>
      <c r="AT372" s="116">
        <f t="shared" si="144"/>
        <v>940.5310875051182</v>
      </c>
      <c r="AU372" s="116"/>
      <c r="AV372" s="116"/>
      <c r="AW372" s="116"/>
      <c r="AX372" s="116">
        <f>AT372+AU372-AV372</f>
        <v>940.5310875051182</v>
      </c>
      <c r="AY372" s="116"/>
      <c r="AZ372" s="172">
        <f t="shared" si="129"/>
        <v>940.5310875051182</v>
      </c>
      <c r="BA372" s="130">
        <v>3388.36</v>
      </c>
    </row>
    <row r="373" spans="1:53" ht="12.75">
      <c r="A373" s="1">
        <v>90</v>
      </c>
      <c r="B373" s="10" t="s">
        <v>349</v>
      </c>
      <c r="C373" s="1">
        <v>382</v>
      </c>
      <c r="D373" s="1">
        <v>0</v>
      </c>
      <c r="E373" s="7">
        <f t="shared" si="131"/>
        <v>382</v>
      </c>
      <c r="F373" s="5">
        <v>0</v>
      </c>
      <c r="G373" s="5">
        <v>2.8</v>
      </c>
      <c r="H373" s="5">
        <f t="shared" si="132"/>
        <v>2.8</v>
      </c>
      <c r="I373" s="28">
        <f t="shared" si="133"/>
        <v>6417.599999999999</v>
      </c>
      <c r="J373" s="5">
        <f t="shared" si="134"/>
        <v>0</v>
      </c>
      <c r="K373" s="5">
        <f t="shared" si="135"/>
        <v>2.994659698799999</v>
      </c>
      <c r="L373" s="27">
        <f t="shared" si="136"/>
        <v>2.994659698799999</v>
      </c>
      <c r="M373" s="61">
        <f t="shared" si="137"/>
        <v>6863.760029649598</v>
      </c>
      <c r="N373" s="34">
        <f t="shared" si="138"/>
        <v>13281.360029649597</v>
      </c>
      <c r="O373" s="34">
        <v>509.23</v>
      </c>
      <c r="P373" s="34">
        <v>10247.06</v>
      </c>
      <c r="Q373" s="5">
        <f t="shared" si="139"/>
        <v>12772.130029649597</v>
      </c>
      <c r="R373" s="30">
        <f t="shared" si="130"/>
        <v>23019.190029649595</v>
      </c>
      <c r="S373" s="1">
        <v>702.88</v>
      </c>
      <c r="T373" s="1">
        <v>877.15</v>
      </c>
      <c r="U373" s="1">
        <v>702.88</v>
      </c>
      <c r="V373" s="1">
        <v>702.88</v>
      </c>
      <c r="W373" s="1">
        <v>702.88</v>
      </c>
      <c r="X373" s="1">
        <v>702.88</v>
      </c>
      <c r="Y373" s="1">
        <v>752.54</v>
      </c>
      <c r="Z373" s="1">
        <v>752.54</v>
      </c>
      <c r="AA373" s="1">
        <v>752.54</v>
      </c>
      <c r="AB373" s="1">
        <v>291.31</v>
      </c>
      <c r="AC373" s="165">
        <f t="shared" si="140"/>
        <v>6940.4800000000005</v>
      </c>
      <c r="AD373" s="1">
        <v>0</v>
      </c>
      <c r="AE373" s="1">
        <v>958.63</v>
      </c>
      <c r="AF373" s="1"/>
      <c r="AG373" s="1">
        <v>1895.43</v>
      </c>
      <c r="AH373" s="1">
        <v>0</v>
      </c>
      <c r="AI373" s="1">
        <v>3381.58</v>
      </c>
      <c r="AJ373" s="6">
        <f t="shared" si="141"/>
        <v>13176.12</v>
      </c>
      <c r="AK373" s="1"/>
      <c r="AL373" s="1"/>
      <c r="AM373" s="1"/>
      <c r="AN373" s="1"/>
      <c r="AO373" s="6">
        <f t="shared" si="142"/>
        <v>13176.12</v>
      </c>
      <c r="AP373" s="91">
        <f t="shared" si="143"/>
        <v>9843.070029649594</v>
      </c>
      <c r="AQ373" s="10"/>
      <c r="AR373" s="10"/>
      <c r="AS373" s="34"/>
      <c r="AT373" s="116">
        <f t="shared" si="144"/>
        <v>9843.070029649594</v>
      </c>
      <c r="AU373" s="116"/>
      <c r="AV373" s="116"/>
      <c r="AW373" s="116"/>
      <c r="AX373" s="116">
        <f>AT373+AU373-AV373</f>
        <v>9843.070029649594</v>
      </c>
      <c r="AY373" s="116"/>
      <c r="AZ373" s="172">
        <f t="shared" si="129"/>
        <v>9843.070029649594</v>
      </c>
      <c r="BA373" s="130">
        <v>114725.19</v>
      </c>
    </row>
    <row r="374" spans="1:53" ht="12.75">
      <c r="A374" s="1">
        <v>91</v>
      </c>
      <c r="B374" s="10" t="s">
        <v>350</v>
      </c>
      <c r="C374" s="1">
        <v>372.9</v>
      </c>
      <c r="D374" s="1">
        <v>0</v>
      </c>
      <c r="E374" s="7">
        <f t="shared" si="131"/>
        <v>372.9</v>
      </c>
      <c r="F374" s="5">
        <v>0</v>
      </c>
      <c r="G374" s="5">
        <v>2.8</v>
      </c>
      <c r="H374" s="5">
        <f t="shared" si="132"/>
        <v>2.8</v>
      </c>
      <c r="I374" s="28">
        <f t="shared" si="133"/>
        <v>6264.719999999999</v>
      </c>
      <c r="J374" s="5">
        <f t="shared" si="134"/>
        <v>0</v>
      </c>
      <c r="K374" s="5">
        <f t="shared" si="135"/>
        <v>2.994659698799999</v>
      </c>
      <c r="L374" s="27">
        <f t="shared" si="136"/>
        <v>2.994659698799999</v>
      </c>
      <c r="M374" s="61">
        <f t="shared" si="137"/>
        <v>6700.251610095118</v>
      </c>
      <c r="N374" s="34">
        <f t="shared" si="138"/>
        <v>12964.971610095117</v>
      </c>
      <c r="O374" s="34">
        <v>641.58</v>
      </c>
      <c r="P374" s="34">
        <v>14666.14</v>
      </c>
      <c r="Q374" s="5">
        <f t="shared" si="139"/>
        <v>12323.391610095117</v>
      </c>
      <c r="R374" s="30">
        <f t="shared" si="130"/>
        <v>26989.531610095117</v>
      </c>
      <c r="S374" s="1">
        <v>686.14</v>
      </c>
      <c r="T374" s="1">
        <v>860.41</v>
      </c>
      <c r="U374" s="1">
        <v>686.14</v>
      </c>
      <c r="V374" s="1">
        <v>686.14</v>
      </c>
      <c r="W374" s="1">
        <v>686.14</v>
      </c>
      <c r="X374" s="1">
        <v>686.14</v>
      </c>
      <c r="Y374" s="1">
        <v>734.61</v>
      </c>
      <c r="Z374" s="1">
        <v>734.61</v>
      </c>
      <c r="AA374" s="1">
        <v>734.61</v>
      </c>
      <c r="AB374" s="1">
        <v>284.37</v>
      </c>
      <c r="AC374" s="165">
        <f t="shared" si="140"/>
        <v>6779.309999999999</v>
      </c>
      <c r="AD374" s="1">
        <v>0</v>
      </c>
      <c r="AE374" s="1">
        <v>450.25</v>
      </c>
      <c r="AF374" s="1"/>
      <c r="AG374" s="1">
        <v>1877.5</v>
      </c>
      <c r="AH374" s="1">
        <v>0</v>
      </c>
      <c r="AI374" s="1">
        <v>1734.61</v>
      </c>
      <c r="AJ374" s="6">
        <f t="shared" si="141"/>
        <v>10841.669999999998</v>
      </c>
      <c r="AK374" s="1"/>
      <c r="AL374" s="1"/>
      <c r="AM374" s="1"/>
      <c r="AN374" s="1"/>
      <c r="AO374" s="6">
        <f t="shared" si="142"/>
        <v>10841.669999999998</v>
      </c>
      <c r="AP374" s="91">
        <f t="shared" si="143"/>
        <v>16147.861610095119</v>
      </c>
      <c r="AQ374" s="10"/>
      <c r="AR374" s="10"/>
      <c r="AS374" s="34"/>
      <c r="AT374" s="116">
        <f t="shared" si="144"/>
        <v>16147.861610095119</v>
      </c>
      <c r="AU374" s="116"/>
      <c r="AV374" s="116"/>
      <c r="AW374" s="116"/>
      <c r="AX374" s="116">
        <f>AT374+AU374-AV374</f>
        <v>16147.861610095119</v>
      </c>
      <c r="AY374" s="116"/>
      <c r="AZ374" s="172">
        <f t="shared" si="129"/>
        <v>16147.861610095119</v>
      </c>
      <c r="BA374" s="130">
        <v>199511.07</v>
      </c>
    </row>
    <row r="375" spans="1:53" ht="12.75">
      <c r="A375" s="1">
        <v>92</v>
      </c>
      <c r="B375" s="84" t="s">
        <v>253</v>
      </c>
      <c r="C375" s="6">
        <v>124.4</v>
      </c>
      <c r="D375" s="6">
        <v>0</v>
      </c>
      <c r="E375" s="25">
        <f t="shared" si="131"/>
        <v>124.4</v>
      </c>
      <c r="F375" s="5">
        <v>0</v>
      </c>
      <c r="G375" s="5">
        <v>1.84</v>
      </c>
      <c r="H375" s="5">
        <f t="shared" si="132"/>
        <v>1.84</v>
      </c>
      <c r="I375" s="28">
        <f t="shared" si="133"/>
        <v>1373.3760000000002</v>
      </c>
      <c r="J375" s="5">
        <f t="shared" si="134"/>
        <v>0</v>
      </c>
      <c r="K375" s="5">
        <f t="shared" si="135"/>
        <v>1.9679192306399997</v>
      </c>
      <c r="L375" s="27">
        <f t="shared" si="136"/>
        <v>1.9679192306399997</v>
      </c>
      <c r="M375" s="61">
        <f t="shared" si="137"/>
        <v>1468.854913749696</v>
      </c>
      <c r="N375" s="34">
        <f t="shared" si="138"/>
        <v>2842.230913749696</v>
      </c>
      <c r="O375" s="34">
        <v>16269.69</v>
      </c>
      <c r="P375" s="34">
        <v>8447.7</v>
      </c>
      <c r="Q375" s="5">
        <f t="shared" si="139"/>
        <v>-13427.459086250305</v>
      </c>
      <c r="R375" s="30">
        <v>4144.42</v>
      </c>
      <c r="S375" s="1">
        <v>345.37</v>
      </c>
      <c r="T375" s="1">
        <v>345.37</v>
      </c>
      <c r="U375" s="1">
        <v>345.37</v>
      </c>
      <c r="V375" s="1">
        <v>345.37</v>
      </c>
      <c r="W375" s="1">
        <v>345.37</v>
      </c>
      <c r="X375" s="1">
        <v>345.37</v>
      </c>
      <c r="Y375" s="1">
        <v>369.77</v>
      </c>
      <c r="Z375" s="1">
        <v>369.77</v>
      </c>
      <c r="AA375" s="1">
        <v>369.77</v>
      </c>
      <c r="AB375" s="1">
        <v>143.14</v>
      </c>
      <c r="AC375" s="165">
        <f t="shared" si="140"/>
        <v>3324.6699999999996</v>
      </c>
      <c r="AD375" s="1">
        <v>0</v>
      </c>
      <c r="AE375" s="1">
        <v>226.63</v>
      </c>
      <c r="AF375" s="1">
        <v>0</v>
      </c>
      <c r="AG375" s="1">
        <v>369.77</v>
      </c>
      <c r="AH375" s="1">
        <v>0</v>
      </c>
      <c r="AI375" s="1">
        <v>369.77</v>
      </c>
      <c r="AJ375" s="6">
        <f t="shared" si="141"/>
        <v>4290.84</v>
      </c>
      <c r="AK375" s="1"/>
      <c r="AL375" s="1"/>
      <c r="AM375" s="1"/>
      <c r="AN375" s="1"/>
      <c r="AO375" s="6">
        <f t="shared" si="142"/>
        <v>4290.84</v>
      </c>
      <c r="AP375" s="136">
        <f t="shared" si="143"/>
        <v>-146.42000000000007</v>
      </c>
      <c r="AQ375" s="110"/>
      <c r="AR375" s="110"/>
      <c r="AS375" s="111"/>
      <c r="AT375" s="111">
        <f t="shared" si="144"/>
        <v>-146.42000000000007</v>
      </c>
      <c r="AU375" s="121"/>
      <c r="AV375" s="111"/>
      <c r="AW375" s="111"/>
      <c r="AX375" s="111"/>
      <c r="AY375" s="116"/>
      <c r="AZ375" s="172">
        <f t="shared" si="129"/>
        <v>0</v>
      </c>
      <c r="BA375" s="130">
        <v>64015.78</v>
      </c>
    </row>
    <row r="376" spans="1:53" ht="12.75">
      <c r="A376" s="1">
        <v>93</v>
      </c>
      <c r="B376" s="10" t="s">
        <v>351</v>
      </c>
      <c r="C376" s="1">
        <v>260.1</v>
      </c>
      <c r="D376" s="1">
        <v>0</v>
      </c>
      <c r="E376" s="7">
        <f t="shared" si="131"/>
        <v>260.1</v>
      </c>
      <c r="F376" s="5">
        <v>0</v>
      </c>
      <c r="G376" s="5">
        <v>1.84</v>
      </c>
      <c r="H376" s="5">
        <f t="shared" si="132"/>
        <v>1.84</v>
      </c>
      <c r="I376" s="28">
        <f t="shared" si="133"/>
        <v>2871.5040000000004</v>
      </c>
      <c r="J376" s="5">
        <f t="shared" si="134"/>
        <v>0</v>
      </c>
      <c r="K376" s="5">
        <f t="shared" si="135"/>
        <v>1.9679192306399997</v>
      </c>
      <c r="L376" s="27">
        <f t="shared" si="136"/>
        <v>1.9679192306399997</v>
      </c>
      <c r="M376" s="61">
        <f t="shared" si="137"/>
        <v>3071.134751336784</v>
      </c>
      <c r="N376" s="34">
        <f t="shared" si="138"/>
        <v>5942.6387513367845</v>
      </c>
      <c r="O376" s="34"/>
      <c r="P376" s="34"/>
      <c r="Q376" s="5">
        <f t="shared" si="139"/>
        <v>5942.6387513367845</v>
      </c>
      <c r="R376" s="30">
        <f t="shared" si="130"/>
        <v>5942.6387513367845</v>
      </c>
      <c r="S376" s="1">
        <v>478.58</v>
      </c>
      <c r="T376" s="1">
        <v>478.58</v>
      </c>
      <c r="U376" s="1">
        <v>478.58</v>
      </c>
      <c r="V376" s="1">
        <v>478.58</v>
      </c>
      <c r="W376" s="1">
        <v>478.58</v>
      </c>
      <c r="X376" s="1">
        <v>478.58</v>
      </c>
      <c r="Y376" s="1">
        <v>512.4</v>
      </c>
      <c r="Z376" s="1">
        <v>512.4</v>
      </c>
      <c r="AA376" s="1">
        <v>512.4</v>
      </c>
      <c r="AB376" s="1">
        <v>198.35</v>
      </c>
      <c r="AC376" s="165">
        <f t="shared" si="140"/>
        <v>4607.030000000001</v>
      </c>
      <c r="AD376" s="1">
        <v>0</v>
      </c>
      <c r="AE376" s="1">
        <v>314.05</v>
      </c>
      <c r="AF376" s="1"/>
      <c r="AG376" s="1">
        <v>512.4</v>
      </c>
      <c r="AH376" s="1">
        <v>0</v>
      </c>
      <c r="AI376" s="1">
        <v>512.4</v>
      </c>
      <c r="AJ376" s="6">
        <f t="shared" si="141"/>
        <v>5945.88</v>
      </c>
      <c r="AK376" s="1"/>
      <c r="AL376" s="1"/>
      <c r="AM376" s="1"/>
      <c r="AN376" s="1"/>
      <c r="AO376" s="6">
        <f t="shared" si="142"/>
        <v>5945.88</v>
      </c>
      <c r="AP376" s="136">
        <f t="shared" si="143"/>
        <v>-3.2412486632156288</v>
      </c>
      <c r="AQ376" s="110"/>
      <c r="AR376" s="110"/>
      <c r="AS376" s="111"/>
      <c r="AT376" s="111">
        <f t="shared" si="144"/>
        <v>-3.2412486632156288</v>
      </c>
      <c r="AU376" s="121"/>
      <c r="AV376" s="111"/>
      <c r="AW376" s="111"/>
      <c r="AX376" s="111"/>
      <c r="AY376" s="116"/>
      <c r="AZ376" s="172">
        <f t="shared" si="129"/>
        <v>0</v>
      </c>
      <c r="BA376" s="130">
        <v>85353.6</v>
      </c>
    </row>
    <row r="377" spans="1:53" ht="12.75">
      <c r="A377" s="1">
        <v>94</v>
      </c>
      <c r="B377" s="10" t="s">
        <v>254</v>
      </c>
      <c r="C377" s="6">
        <v>255.5</v>
      </c>
      <c r="D377" s="6">
        <v>0</v>
      </c>
      <c r="E377" s="25">
        <f t="shared" si="131"/>
        <v>255.5</v>
      </c>
      <c r="F377" s="5">
        <v>0</v>
      </c>
      <c r="G377" s="5">
        <v>1.84</v>
      </c>
      <c r="H377" s="5">
        <f t="shared" si="132"/>
        <v>1.84</v>
      </c>
      <c r="I377" s="28">
        <f t="shared" si="133"/>
        <v>2820.7200000000003</v>
      </c>
      <c r="J377" s="5">
        <f t="shared" si="134"/>
        <v>0</v>
      </c>
      <c r="K377" s="5">
        <f t="shared" si="135"/>
        <v>1.9679192306399997</v>
      </c>
      <c r="L377" s="27">
        <f t="shared" si="136"/>
        <v>1.9679192306399997</v>
      </c>
      <c r="M377" s="61">
        <f t="shared" si="137"/>
        <v>3016.8201805711196</v>
      </c>
      <c r="N377" s="34">
        <f t="shared" si="138"/>
        <v>5837.54018057112</v>
      </c>
      <c r="O377" s="34"/>
      <c r="P377" s="34"/>
      <c r="Q377" s="5">
        <f t="shared" si="139"/>
        <v>5837.54018057112</v>
      </c>
      <c r="R377" s="30">
        <f t="shared" si="130"/>
        <v>5837.54018057112</v>
      </c>
      <c r="S377" s="1">
        <v>470.12</v>
      </c>
      <c r="T377" s="1">
        <v>24914.93</v>
      </c>
      <c r="U377" s="1">
        <v>470.12</v>
      </c>
      <c r="V377" s="1">
        <v>470.12</v>
      </c>
      <c r="W377" s="1">
        <v>470.12</v>
      </c>
      <c r="X377" s="1">
        <v>470.12</v>
      </c>
      <c r="Y377" s="1">
        <v>503.34</v>
      </c>
      <c r="Z377" s="1">
        <v>503.34</v>
      </c>
      <c r="AA377" s="1">
        <v>503.34</v>
      </c>
      <c r="AB377" s="1">
        <v>194.84</v>
      </c>
      <c r="AC377" s="165">
        <f t="shared" si="140"/>
        <v>28970.389999999996</v>
      </c>
      <c r="AD377" s="1">
        <v>0</v>
      </c>
      <c r="AE377" s="1">
        <v>308.5</v>
      </c>
      <c r="AF377" s="1"/>
      <c r="AG377" s="1">
        <v>503.34</v>
      </c>
      <c r="AH377" s="1">
        <v>0</v>
      </c>
      <c r="AI377" s="1">
        <v>503.34</v>
      </c>
      <c r="AJ377" s="6">
        <f t="shared" si="141"/>
        <v>30285.569999999996</v>
      </c>
      <c r="AK377" s="1"/>
      <c r="AL377" s="1"/>
      <c r="AM377" s="1"/>
      <c r="AN377" s="1"/>
      <c r="AO377" s="6">
        <f t="shared" si="142"/>
        <v>30285.569999999996</v>
      </c>
      <c r="AP377" s="136">
        <f t="shared" si="143"/>
        <v>-24448.029819428877</v>
      </c>
      <c r="AQ377" s="110"/>
      <c r="AR377" s="110"/>
      <c r="AS377" s="111"/>
      <c r="AT377" s="111">
        <f t="shared" si="144"/>
        <v>-24448.029819428877</v>
      </c>
      <c r="AU377" s="121"/>
      <c r="AV377" s="111"/>
      <c r="AW377" s="111"/>
      <c r="AX377" s="111"/>
      <c r="AY377" s="116"/>
      <c r="AZ377" s="172">
        <f t="shared" si="129"/>
        <v>0</v>
      </c>
      <c r="BA377" s="130">
        <v>188943.66</v>
      </c>
    </row>
    <row r="378" spans="1:53" ht="12.75">
      <c r="A378" s="1">
        <v>95</v>
      </c>
      <c r="B378" s="10" t="s">
        <v>282</v>
      </c>
      <c r="C378" s="6">
        <v>453.3</v>
      </c>
      <c r="D378" s="6">
        <v>0</v>
      </c>
      <c r="E378" s="25">
        <f t="shared" si="131"/>
        <v>453.3</v>
      </c>
      <c r="F378" s="5">
        <v>0</v>
      </c>
      <c r="G378" s="5">
        <v>1.84</v>
      </c>
      <c r="H378" s="5">
        <f t="shared" si="132"/>
        <v>1.84</v>
      </c>
      <c r="I378" s="28">
        <f t="shared" si="133"/>
        <v>5004.432</v>
      </c>
      <c r="J378" s="5">
        <f t="shared" si="134"/>
        <v>0</v>
      </c>
      <c r="K378" s="5">
        <f t="shared" si="135"/>
        <v>1.9679192306399997</v>
      </c>
      <c r="L378" s="27">
        <f t="shared" si="136"/>
        <v>1.9679192306399997</v>
      </c>
      <c r="M378" s="61">
        <f t="shared" si="137"/>
        <v>5352.346723494671</v>
      </c>
      <c r="N378" s="34">
        <f t="shared" si="138"/>
        <v>10356.77872349467</v>
      </c>
      <c r="O378" s="34"/>
      <c r="P378" s="34"/>
      <c r="Q378" s="5">
        <f t="shared" si="139"/>
        <v>10356.77872349467</v>
      </c>
      <c r="R378" s="30">
        <v>10356.78</v>
      </c>
      <c r="S378" s="1">
        <v>946.5</v>
      </c>
      <c r="T378" s="1">
        <v>946.5</v>
      </c>
      <c r="U378" s="1">
        <v>946.5</v>
      </c>
      <c r="V378" s="1">
        <v>946.5</v>
      </c>
      <c r="W378" s="1">
        <v>946.5</v>
      </c>
      <c r="X378" s="1">
        <v>946.5</v>
      </c>
      <c r="Y378" s="1">
        <v>1013.37</v>
      </c>
      <c r="Z378" s="1">
        <v>1013.37</v>
      </c>
      <c r="AA378" s="1">
        <v>1013.37</v>
      </c>
      <c r="AB378" s="1">
        <v>392.27</v>
      </c>
      <c r="AC378" s="165">
        <f t="shared" si="140"/>
        <v>9111.380000000001</v>
      </c>
      <c r="AD378" s="1">
        <v>0</v>
      </c>
      <c r="AE378" s="1">
        <v>621.1</v>
      </c>
      <c r="AF378" s="1"/>
      <c r="AG378" s="1">
        <v>1013.37</v>
      </c>
      <c r="AH378" s="1">
        <v>0</v>
      </c>
      <c r="AI378" s="1">
        <v>1013.37</v>
      </c>
      <c r="AJ378" s="6">
        <f t="shared" si="141"/>
        <v>11759.220000000003</v>
      </c>
      <c r="AK378" s="1"/>
      <c r="AL378" s="1"/>
      <c r="AM378" s="1"/>
      <c r="AN378" s="1"/>
      <c r="AO378" s="6">
        <f t="shared" si="142"/>
        <v>11759.220000000003</v>
      </c>
      <c r="AP378" s="136">
        <f t="shared" si="143"/>
        <v>-1402.4400000000023</v>
      </c>
      <c r="AQ378" s="110"/>
      <c r="AR378" s="110"/>
      <c r="AS378" s="111"/>
      <c r="AT378" s="111">
        <f t="shared" si="144"/>
        <v>-1402.4400000000023</v>
      </c>
      <c r="AU378" s="121"/>
      <c r="AV378" s="111"/>
      <c r="AW378" s="111"/>
      <c r="AX378" s="111"/>
      <c r="AY378" s="116"/>
      <c r="AZ378" s="172">
        <f t="shared" si="129"/>
        <v>0</v>
      </c>
      <c r="BA378" s="130">
        <v>148430.51</v>
      </c>
    </row>
    <row r="379" spans="1:53" ht="12.75">
      <c r="A379" s="1">
        <v>96</v>
      </c>
      <c r="B379" s="10" t="s">
        <v>283</v>
      </c>
      <c r="C379" s="6">
        <v>510.7</v>
      </c>
      <c r="D379" s="6">
        <v>0</v>
      </c>
      <c r="E379" s="25">
        <f t="shared" si="131"/>
        <v>510.7</v>
      </c>
      <c r="F379" s="5">
        <v>0</v>
      </c>
      <c r="G379" s="5">
        <v>1.84</v>
      </c>
      <c r="H379" s="5">
        <f t="shared" si="132"/>
        <v>1.84</v>
      </c>
      <c r="I379" s="28">
        <f t="shared" si="133"/>
        <v>5638.128</v>
      </c>
      <c r="J379" s="5">
        <f t="shared" si="134"/>
        <v>0</v>
      </c>
      <c r="K379" s="5">
        <f t="shared" si="135"/>
        <v>1.9679192306399997</v>
      </c>
      <c r="L379" s="27">
        <f t="shared" si="136"/>
        <v>1.9679192306399997</v>
      </c>
      <c r="M379" s="61">
        <f t="shared" si="137"/>
        <v>6030.098106527087</v>
      </c>
      <c r="N379" s="34">
        <f t="shared" si="138"/>
        <v>11668.226106527087</v>
      </c>
      <c r="O379" s="34"/>
      <c r="P379" s="34"/>
      <c r="Q379" s="5">
        <f t="shared" si="139"/>
        <v>11668.226106527087</v>
      </c>
      <c r="R379" s="30">
        <f t="shared" si="130"/>
        <v>11668.226106527087</v>
      </c>
      <c r="S379" s="1">
        <v>939.69</v>
      </c>
      <c r="T379" s="1">
        <v>939.69</v>
      </c>
      <c r="U379" s="1">
        <v>939.69</v>
      </c>
      <c r="V379" s="1">
        <v>939.69</v>
      </c>
      <c r="W379" s="1">
        <v>939.69</v>
      </c>
      <c r="X379" s="1">
        <v>939.69</v>
      </c>
      <c r="Y379" s="1">
        <v>1006.08</v>
      </c>
      <c r="Z379" s="1">
        <v>1006.08</v>
      </c>
      <c r="AA379" s="1">
        <v>1006.08</v>
      </c>
      <c r="AB379" s="1">
        <v>389.45</v>
      </c>
      <c r="AC379" s="165">
        <f t="shared" si="140"/>
        <v>9045.830000000002</v>
      </c>
      <c r="AD379" s="1">
        <v>0</v>
      </c>
      <c r="AE379" s="1">
        <v>616.63</v>
      </c>
      <c r="AF379" s="1"/>
      <c r="AG379" s="1">
        <v>1006.08</v>
      </c>
      <c r="AH379" s="1">
        <v>0</v>
      </c>
      <c r="AI379" s="1">
        <v>1006.08</v>
      </c>
      <c r="AJ379" s="6">
        <f t="shared" si="141"/>
        <v>11674.62</v>
      </c>
      <c r="AK379" s="1"/>
      <c r="AL379" s="1"/>
      <c r="AM379" s="1"/>
      <c r="AN379" s="1"/>
      <c r="AO379" s="6">
        <f t="shared" si="142"/>
        <v>11674.62</v>
      </c>
      <c r="AP379" s="136">
        <f t="shared" si="143"/>
        <v>-6.393893472913987</v>
      </c>
      <c r="AQ379" s="110"/>
      <c r="AR379" s="110"/>
      <c r="AS379" s="111"/>
      <c r="AT379" s="111">
        <f t="shared" si="144"/>
        <v>-6.393893472913987</v>
      </c>
      <c r="AU379" s="121"/>
      <c r="AV379" s="111"/>
      <c r="AW379" s="111"/>
      <c r="AX379" s="111"/>
      <c r="AY379" s="116"/>
      <c r="AZ379" s="172">
        <f t="shared" si="129"/>
        <v>0</v>
      </c>
      <c r="BA379" s="130">
        <v>270917.65</v>
      </c>
    </row>
    <row r="380" spans="1:53" ht="12.75">
      <c r="A380" s="1">
        <v>97</v>
      </c>
      <c r="B380" s="10" t="s">
        <v>291</v>
      </c>
      <c r="C380" s="6">
        <v>353.7</v>
      </c>
      <c r="D380" s="6">
        <v>0</v>
      </c>
      <c r="E380" s="25">
        <f t="shared" si="131"/>
        <v>353.7</v>
      </c>
      <c r="F380" s="5">
        <v>0</v>
      </c>
      <c r="G380" s="5">
        <v>1.84</v>
      </c>
      <c r="H380" s="5">
        <f t="shared" si="132"/>
        <v>1.84</v>
      </c>
      <c r="I380" s="28">
        <f t="shared" si="133"/>
        <v>3904.848</v>
      </c>
      <c r="J380" s="5">
        <f t="shared" si="134"/>
        <v>0</v>
      </c>
      <c r="K380" s="5">
        <f t="shared" si="135"/>
        <v>1.9679192306399997</v>
      </c>
      <c r="L380" s="27">
        <f t="shared" si="136"/>
        <v>1.9679192306399997</v>
      </c>
      <c r="M380" s="61">
        <f t="shared" si="137"/>
        <v>4176.318191264207</v>
      </c>
      <c r="N380" s="34">
        <f t="shared" si="138"/>
        <v>8081.166191264207</v>
      </c>
      <c r="O380" s="34"/>
      <c r="P380" s="34"/>
      <c r="Q380" s="5">
        <f t="shared" si="139"/>
        <v>8081.166191264207</v>
      </c>
      <c r="R380" s="30">
        <f t="shared" si="130"/>
        <v>8081.166191264207</v>
      </c>
      <c r="S380" s="1">
        <v>650.81</v>
      </c>
      <c r="T380" s="1">
        <v>650.81</v>
      </c>
      <c r="U380" s="1">
        <v>650.81</v>
      </c>
      <c r="V380" s="1">
        <v>650.81</v>
      </c>
      <c r="W380" s="1">
        <v>650.81</v>
      </c>
      <c r="X380" s="1">
        <v>650.81</v>
      </c>
      <c r="Y380" s="1">
        <v>696.79</v>
      </c>
      <c r="Z380" s="1">
        <v>696.79</v>
      </c>
      <c r="AA380" s="1">
        <v>696.79</v>
      </c>
      <c r="AB380" s="1">
        <v>269.72</v>
      </c>
      <c r="AC380" s="165">
        <f t="shared" si="140"/>
        <v>6264.95</v>
      </c>
      <c r="AD380" s="1">
        <v>0</v>
      </c>
      <c r="AE380" s="1">
        <v>427.06</v>
      </c>
      <c r="AF380" s="1"/>
      <c r="AG380" s="1">
        <v>696.79</v>
      </c>
      <c r="AH380" s="1">
        <v>0</v>
      </c>
      <c r="AI380" s="1">
        <v>696.79</v>
      </c>
      <c r="AJ380" s="6">
        <f t="shared" si="141"/>
        <v>8085.59</v>
      </c>
      <c r="AK380" s="1"/>
      <c r="AL380" s="1"/>
      <c r="AM380" s="1"/>
      <c r="AN380" s="1"/>
      <c r="AO380" s="6">
        <f t="shared" si="142"/>
        <v>8085.59</v>
      </c>
      <c r="AP380" s="136">
        <f t="shared" si="143"/>
        <v>-4.4238087357935</v>
      </c>
      <c r="AQ380" s="110"/>
      <c r="AR380" s="110"/>
      <c r="AS380" s="111"/>
      <c r="AT380" s="111">
        <f t="shared" si="144"/>
        <v>-4.4238087357935</v>
      </c>
      <c r="AU380" s="121"/>
      <c r="AV380" s="111"/>
      <c r="AW380" s="111"/>
      <c r="AX380" s="111"/>
      <c r="AY380" s="116"/>
      <c r="AZ380" s="172">
        <f t="shared" si="129"/>
        <v>0</v>
      </c>
      <c r="BA380" s="130">
        <v>105469.58</v>
      </c>
    </row>
    <row r="381" spans="1:53" ht="12.75">
      <c r="A381" s="1">
        <v>98</v>
      </c>
      <c r="B381" s="117" t="s">
        <v>352</v>
      </c>
      <c r="C381" s="1">
        <v>476.6</v>
      </c>
      <c r="D381" s="1">
        <v>0</v>
      </c>
      <c r="E381" s="7">
        <f t="shared" si="131"/>
        <v>476.6</v>
      </c>
      <c r="F381" s="5">
        <v>0</v>
      </c>
      <c r="G381" s="5">
        <v>1.84</v>
      </c>
      <c r="H381" s="5">
        <f t="shared" si="132"/>
        <v>1.84</v>
      </c>
      <c r="I381" s="28">
        <f t="shared" si="133"/>
        <v>5261.664000000001</v>
      </c>
      <c r="J381" s="5">
        <f t="shared" si="134"/>
        <v>0</v>
      </c>
      <c r="K381" s="5">
        <f t="shared" si="135"/>
        <v>1.9679192306399997</v>
      </c>
      <c r="L381" s="27">
        <f t="shared" si="136"/>
        <v>1.9679192306399997</v>
      </c>
      <c r="M381" s="61">
        <f t="shared" si="137"/>
        <v>5627.461831938144</v>
      </c>
      <c r="N381" s="34">
        <f t="shared" si="138"/>
        <v>10889.125831938145</v>
      </c>
      <c r="O381" s="34"/>
      <c r="P381" s="34"/>
      <c r="Q381" s="5">
        <f t="shared" si="139"/>
        <v>10889.125831938145</v>
      </c>
      <c r="R381" s="30">
        <f t="shared" si="130"/>
        <v>10889.125831938145</v>
      </c>
      <c r="S381" s="1">
        <v>876.94</v>
      </c>
      <c r="T381" s="1">
        <v>876.94</v>
      </c>
      <c r="U381" s="1">
        <v>876.94</v>
      </c>
      <c r="V381" s="1">
        <v>876.94</v>
      </c>
      <c r="W381" s="1">
        <v>876.94</v>
      </c>
      <c r="X381" s="1">
        <v>876.94</v>
      </c>
      <c r="Y381" s="1">
        <v>938.9</v>
      </c>
      <c r="Z381" s="1">
        <v>938.9</v>
      </c>
      <c r="AA381" s="1">
        <v>938.9</v>
      </c>
      <c r="AB381" s="1">
        <v>363.45</v>
      </c>
      <c r="AC381" s="165">
        <f t="shared" si="140"/>
        <v>8441.79</v>
      </c>
      <c r="AD381" s="1">
        <v>0</v>
      </c>
      <c r="AE381" s="1">
        <v>575.46</v>
      </c>
      <c r="AF381" s="1"/>
      <c r="AG381" s="1">
        <v>938.9</v>
      </c>
      <c r="AH381" s="1">
        <v>0</v>
      </c>
      <c r="AI381" s="94">
        <v>0</v>
      </c>
      <c r="AJ381" s="6">
        <f t="shared" si="141"/>
        <v>9956.15</v>
      </c>
      <c r="AK381" s="1"/>
      <c r="AL381" s="1"/>
      <c r="AM381" s="1"/>
      <c r="AN381" s="1"/>
      <c r="AO381" s="6">
        <f t="shared" si="142"/>
        <v>9956.15</v>
      </c>
      <c r="AP381" s="136">
        <f t="shared" si="143"/>
        <v>932.9758319381453</v>
      </c>
      <c r="AQ381" s="110"/>
      <c r="AR381" s="110"/>
      <c r="AS381" s="111"/>
      <c r="AT381" s="111">
        <f t="shared" si="144"/>
        <v>932.9758319381453</v>
      </c>
      <c r="AU381" s="121"/>
      <c r="AV381" s="111"/>
      <c r="AW381" s="111"/>
      <c r="AX381" s="111"/>
      <c r="AY381" s="116"/>
      <c r="AZ381" s="172">
        <f t="shared" si="129"/>
        <v>0</v>
      </c>
      <c r="BA381" s="130">
        <v>327032.25</v>
      </c>
    </row>
    <row r="382" spans="1:53" ht="12.75">
      <c r="A382" s="1">
        <v>99</v>
      </c>
      <c r="B382" s="117" t="s">
        <v>353</v>
      </c>
      <c r="C382" s="1">
        <v>480.9</v>
      </c>
      <c r="D382" s="1">
        <v>0</v>
      </c>
      <c r="E382" s="7">
        <f t="shared" si="131"/>
        <v>480.9</v>
      </c>
      <c r="F382" s="5">
        <v>0</v>
      </c>
      <c r="G382" s="5">
        <v>1.84</v>
      </c>
      <c r="H382" s="5">
        <f t="shared" si="132"/>
        <v>1.84</v>
      </c>
      <c r="I382" s="28">
        <f t="shared" si="133"/>
        <v>5309.136</v>
      </c>
      <c r="J382" s="5">
        <f t="shared" si="134"/>
        <v>0</v>
      </c>
      <c r="K382" s="5">
        <f t="shared" si="135"/>
        <v>1.9679192306399997</v>
      </c>
      <c r="L382" s="27">
        <f t="shared" si="136"/>
        <v>1.9679192306399997</v>
      </c>
      <c r="M382" s="61">
        <f t="shared" si="137"/>
        <v>5678.234148088655</v>
      </c>
      <c r="N382" s="34">
        <f t="shared" si="138"/>
        <v>10987.370148088656</v>
      </c>
      <c r="O382" s="34"/>
      <c r="P382" s="34"/>
      <c r="Q382" s="5">
        <f t="shared" si="139"/>
        <v>10987.370148088656</v>
      </c>
      <c r="R382" s="30">
        <f t="shared" si="130"/>
        <v>10987.370148088656</v>
      </c>
      <c r="S382" s="1">
        <v>885.22</v>
      </c>
      <c r="T382" s="1">
        <v>885.22</v>
      </c>
      <c r="U382" s="1">
        <v>885.22</v>
      </c>
      <c r="V382" s="1">
        <v>885.22</v>
      </c>
      <c r="W382" s="1">
        <v>885.22</v>
      </c>
      <c r="X382" s="1">
        <v>885.22</v>
      </c>
      <c r="Y382" s="1">
        <v>947.77</v>
      </c>
      <c r="Z382" s="1">
        <v>947.77</v>
      </c>
      <c r="AA382" s="1">
        <v>947.77</v>
      </c>
      <c r="AB382" s="1">
        <v>366.88</v>
      </c>
      <c r="AC382" s="165">
        <f t="shared" si="140"/>
        <v>8521.51</v>
      </c>
      <c r="AD382" s="1">
        <v>0</v>
      </c>
      <c r="AE382" s="1">
        <v>580.89</v>
      </c>
      <c r="AF382" s="1"/>
      <c r="AG382" s="1">
        <v>947.77</v>
      </c>
      <c r="AH382" s="1">
        <v>0</v>
      </c>
      <c r="AI382" s="94">
        <v>0</v>
      </c>
      <c r="AJ382" s="6">
        <f t="shared" si="141"/>
        <v>10050.17</v>
      </c>
      <c r="AK382" s="1"/>
      <c r="AL382" s="1"/>
      <c r="AM382" s="1"/>
      <c r="AN382" s="1"/>
      <c r="AO382" s="6">
        <f t="shared" si="142"/>
        <v>10050.17</v>
      </c>
      <c r="AP382" s="136">
        <f t="shared" si="143"/>
        <v>937.2001480886556</v>
      </c>
      <c r="AQ382" s="110"/>
      <c r="AR382" s="110"/>
      <c r="AS382" s="111"/>
      <c r="AT382" s="111">
        <f t="shared" si="144"/>
        <v>937.2001480886556</v>
      </c>
      <c r="AU382" s="121"/>
      <c r="AV382" s="111"/>
      <c r="AW382" s="111"/>
      <c r="AX382" s="111"/>
      <c r="AY382" s="116"/>
      <c r="AZ382" s="172">
        <f t="shared" si="129"/>
        <v>0</v>
      </c>
      <c r="BA382" s="130">
        <v>282360.26</v>
      </c>
    </row>
    <row r="383" spans="1:53" ht="12.75">
      <c r="A383" s="1"/>
      <c r="B383" s="10" t="s">
        <v>294</v>
      </c>
      <c r="C383" s="6">
        <v>526.4</v>
      </c>
      <c r="D383" s="6">
        <v>0</v>
      </c>
      <c r="E383" s="25">
        <f>C383+D383</f>
        <v>526.4</v>
      </c>
      <c r="F383" s="5">
        <v>0</v>
      </c>
      <c r="G383" s="5">
        <v>1.84</v>
      </c>
      <c r="H383" s="5">
        <f t="shared" si="132"/>
        <v>1.84</v>
      </c>
      <c r="I383" s="28">
        <f t="shared" si="133"/>
        <v>5811.456</v>
      </c>
      <c r="J383" s="5">
        <f t="shared" si="134"/>
        <v>0</v>
      </c>
      <c r="K383" s="5">
        <f t="shared" si="135"/>
        <v>1.9679192306399997</v>
      </c>
      <c r="L383" s="27">
        <f t="shared" si="136"/>
        <v>1.9679192306399997</v>
      </c>
      <c r="M383" s="61">
        <f t="shared" si="137"/>
        <v>6215.476098053375</v>
      </c>
      <c r="N383" s="34">
        <f t="shared" si="138"/>
        <v>12026.932098053374</v>
      </c>
      <c r="O383" s="34"/>
      <c r="P383" s="34"/>
      <c r="Q383" s="5">
        <f t="shared" si="139"/>
        <v>12026.932098053374</v>
      </c>
      <c r="R383" s="30">
        <f t="shared" si="130"/>
        <v>12026.932098053374</v>
      </c>
      <c r="S383" s="1">
        <v>968.58</v>
      </c>
      <c r="T383" s="1">
        <v>968.58</v>
      </c>
      <c r="U383" s="1">
        <v>968.58</v>
      </c>
      <c r="V383" s="1">
        <v>968.58</v>
      </c>
      <c r="W383" s="1">
        <v>968.58</v>
      </c>
      <c r="X383" s="1">
        <v>968.58</v>
      </c>
      <c r="Y383" s="1">
        <v>1037.01</v>
      </c>
      <c r="Z383" s="1">
        <v>1037.01</v>
      </c>
      <c r="AA383" s="1">
        <v>1037.01</v>
      </c>
      <c r="AB383" s="1">
        <v>401.42</v>
      </c>
      <c r="AC383" s="165">
        <f t="shared" si="140"/>
        <v>9323.93</v>
      </c>
      <c r="AD383" s="1">
        <v>0</v>
      </c>
      <c r="AE383" s="1">
        <v>635.59</v>
      </c>
      <c r="AF383" s="1"/>
      <c r="AG383" s="1">
        <v>1037.01</v>
      </c>
      <c r="AH383" s="1">
        <v>0</v>
      </c>
      <c r="AI383" s="1">
        <v>1037.01</v>
      </c>
      <c r="AJ383" s="6">
        <f t="shared" si="141"/>
        <v>12033.54</v>
      </c>
      <c r="AK383" s="1"/>
      <c r="AL383" s="1"/>
      <c r="AM383" s="1"/>
      <c r="AN383" s="1"/>
      <c r="AO383" s="6">
        <f t="shared" si="142"/>
        <v>12033.54</v>
      </c>
      <c r="AP383" s="136">
        <f t="shared" si="143"/>
        <v>-6.607901946626953</v>
      </c>
      <c r="AQ383" s="110"/>
      <c r="AR383" s="110"/>
      <c r="AS383" s="111"/>
      <c r="AT383" s="111">
        <f>AP383+AQ383+AR383+AS383</f>
        <v>-6.607901946626953</v>
      </c>
      <c r="AU383" s="121"/>
      <c r="AV383" s="111"/>
      <c r="AW383" s="111"/>
      <c r="AX383" s="111"/>
      <c r="AY383" s="116"/>
      <c r="AZ383" s="172">
        <f t="shared" si="129"/>
        <v>0</v>
      </c>
      <c r="BA383" s="130">
        <v>204957.34</v>
      </c>
    </row>
    <row r="384" spans="1:53" ht="12.75">
      <c r="A384" s="1"/>
      <c r="B384" s="10" t="s">
        <v>354</v>
      </c>
      <c r="C384" s="1">
        <v>476.6</v>
      </c>
      <c r="D384" s="1">
        <v>0</v>
      </c>
      <c r="E384" s="7">
        <f>C384+D384</f>
        <v>476.6</v>
      </c>
      <c r="F384" s="5">
        <v>0</v>
      </c>
      <c r="G384" s="5">
        <v>1.84</v>
      </c>
      <c r="H384" s="5">
        <f t="shared" si="132"/>
        <v>1.84</v>
      </c>
      <c r="I384" s="28">
        <f t="shared" si="133"/>
        <v>5261.664000000001</v>
      </c>
      <c r="J384" s="5">
        <f t="shared" si="134"/>
        <v>0</v>
      </c>
      <c r="K384" s="5">
        <f t="shared" si="135"/>
        <v>1.9679192306399997</v>
      </c>
      <c r="L384" s="27">
        <f t="shared" si="136"/>
        <v>1.9679192306399997</v>
      </c>
      <c r="M384" s="61">
        <f t="shared" si="137"/>
        <v>5627.461831938144</v>
      </c>
      <c r="N384" s="34">
        <f t="shared" si="138"/>
        <v>10889.125831938145</v>
      </c>
      <c r="O384" s="34"/>
      <c r="P384" s="34"/>
      <c r="Q384" s="5">
        <f t="shared" si="139"/>
        <v>10889.125831938145</v>
      </c>
      <c r="R384" s="30">
        <f t="shared" si="130"/>
        <v>10889.125831938145</v>
      </c>
      <c r="S384" s="1">
        <v>876.94</v>
      </c>
      <c r="T384" s="1">
        <v>876.94</v>
      </c>
      <c r="U384" s="1">
        <v>876.94</v>
      </c>
      <c r="V384" s="1">
        <v>876.94</v>
      </c>
      <c r="W384" s="1">
        <v>876.94</v>
      </c>
      <c r="X384" s="1">
        <v>876.94</v>
      </c>
      <c r="Y384" s="1">
        <v>938.9</v>
      </c>
      <c r="Z384" s="1">
        <v>938.9</v>
      </c>
      <c r="AA384" s="1">
        <v>938.9</v>
      </c>
      <c r="AB384" s="1">
        <v>363.45</v>
      </c>
      <c r="AC384" s="165">
        <f t="shared" si="140"/>
        <v>8441.79</v>
      </c>
      <c r="AD384" s="1">
        <v>0</v>
      </c>
      <c r="AE384" s="1">
        <v>575.46</v>
      </c>
      <c r="AF384" s="1"/>
      <c r="AG384" s="1">
        <v>938.9</v>
      </c>
      <c r="AH384" s="1">
        <v>0</v>
      </c>
      <c r="AI384" s="1">
        <v>938.9</v>
      </c>
      <c r="AJ384" s="6">
        <f t="shared" si="141"/>
        <v>10895.05</v>
      </c>
      <c r="AK384" s="1"/>
      <c r="AL384" s="1"/>
      <c r="AM384" s="1"/>
      <c r="AN384" s="1"/>
      <c r="AO384" s="6">
        <f t="shared" si="142"/>
        <v>10895.05</v>
      </c>
      <c r="AP384" s="136">
        <f t="shared" si="143"/>
        <v>-5.924168061854289</v>
      </c>
      <c r="AQ384" s="110"/>
      <c r="AR384" s="110"/>
      <c r="AS384" s="111"/>
      <c r="AT384" s="111">
        <f>AP384+AQ384+AR384+AS384</f>
        <v>-5.924168061854289</v>
      </c>
      <c r="AU384" s="121"/>
      <c r="AV384" s="111"/>
      <c r="AW384" s="111"/>
      <c r="AX384" s="111"/>
      <c r="AY384" s="116"/>
      <c r="AZ384" s="172">
        <f t="shared" si="129"/>
        <v>0</v>
      </c>
      <c r="BA384" s="130">
        <v>193933.38</v>
      </c>
    </row>
    <row r="385" spans="2:53" ht="12.75">
      <c r="B385" s="84" t="s">
        <v>355</v>
      </c>
      <c r="C385" s="1">
        <v>405.8</v>
      </c>
      <c r="D385" s="1">
        <v>0</v>
      </c>
      <c r="E385" s="7">
        <f>C385+D385</f>
        <v>405.8</v>
      </c>
      <c r="F385" s="5">
        <v>0</v>
      </c>
      <c r="G385" s="5">
        <v>1.84</v>
      </c>
      <c r="H385" s="5">
        <f t="shared" si="132"/>
        <v>1.84</v>
      </c>
      <c r="I385" s="28">
        <f t="shared" si="133"/>
        <v>4480.032</v>
      </c>
      <c r="J385" s="5">
        <f t="shared" si="134"/>
        <v>0</v>
      </c>
      <c r="K385" s="5">
        <f t="shared" si="135"/>
        <v>1.9679192306399997</v>
      </c>
      <c r="L385" s="27">
        <f t="shared" si="136"/>
        <v>1.9679192306399997</v>
      </c>
      <c r="M385" s="61">
        <f t="shared" si="137"/>
        <v>4791.489742762272</v>
      </c>
      <c r="N385" s="34">
        <f t="shared" si="138"/>
        <v>9271.521742762272</v>
      </c>
      <c r="O385" s="34">
        <v>0.04</v>
      </c>
      <c r="P385" s="34"/>
      <c r="Q385" s="5">
        <f t="shared" si="139"/>
        <v>9271.481742762271</v>
      </c>
      <c r="R385" s="30">
        <f t="shared" si="130"/>
        <v>9271.481742762271</v>
      </c>
      <c r="S385" s="1">
        <v>746.67</v>
      </c>
      <c r="T385" s="1">
        <v>746.67</v>
      </c>
      <c r="U385" s="1">
        <v>746.67</v>
      </c>
      <c r="V385" s="1">
        <v>746.67</v>
      </c>
      <c r="W385" s="1">
        <v>746.67</v>
      </c>
      <c r="X385" s="1">
        <v>746.67</v>
      </c>
      <c r="Y385" s="1">
        <v>799.43</v>
      </c>
      <c r="Z385" s="1">
        <v>799.43</v>
      </c>
      <c r="AA385" s="1">
        <v>799.43</v>
      </c>
      <c r="AB385" s="1">
        <v>309.46</v>
      </c>
      <c r="AC385" s="165">
        <f t="shared" si="140"/>
        <v>7187.77</v>
      </c>
      <c r="AD385" s="1">
        <v>0</v>
      </c>
      <c r="AE385" s="1">
        <v>489.97</v>
      </c>
      <c r="AF385" s="1">
        <v>0</v>
      </c>
      <c r="AG385" s="1">
        <v>799.43</v>
      </c>
      <c r="AH385" s="1">
        <v>0</v>
      </c>
      <c r="AI385" s="1">
        <v>799.43</v>
      </c>
      <c r="AJ385" s="6">
        <f t="shared" si="141"/>
        <v>9276.6</v>
      </c>
      <c r="AK385" s="1"/>
      <c r="AL385" s="1"/>
      <c r="AM385" s="1"/>
      <c r="AN385" s="1"/>
      <c r="AO385" s="6">
        <f t="shared" si="142"/>
        <v>9276.6</v>
      </c>
      <c r="AP385" s="136">
        <f t="shared" si="143"/>
        <v>-5.118257237729267</v>
      </c>
      <c r="AQ385" s="110"/>
      <c r="AR385" s="110"/>
      <c r="AS385" s="111"/>
      <c r="AT385" s="111">
        <f>AP385+AQ385+AR385+AS385</f>
        <v>-5.118257237729267</v>
      </c>
      <c r="AU385" s="121"/>
      <c r="AV385" s="111"/>
      <c r="AW385" s="111"/>
      <c r="AX385" s="111"/>
      <c r="AY385" s="116"/>
      <c r="AZ385" s="172">
        <f t="shared" si="129"/>
        <v>0</v>
      </c>
      <c r="BA385" s="130">
        <v>218549.33</v>
      </c>
    </row>
    <row r="386" spans="1:53" ht="12.75">
      <c r="A386" s="1"/>
      <c r="B386" s="4" t="s">
        <v>366</v>
      </c>
      <c r="C386" s="4">
        <v>29780.7</v>
      </c>
      <c r="D386" s="4">
        <v>0</v>
      </c>
      <c r="E386" s="4">
        <v>29780.7</v>
      </c>
      <c r="F386" s="1"/>
      <c r="G386" s="1"/>
      <c r="H386" s="1"/>
      <c r="I386" s="29">
        <f>SUM(I287:I385)</f>
        <v>538621.7379999999</v>
      </c>
      <c r="J386" s="1"/>
      <c r="K386" s="1"/>
      <c r="L386" s="8"/>
      <c r="M386" s="64">
        <f aca="true" t="shared" si="145" ref="M386:R386">SUM(M287:M385)</f>
        <v>509798.26639437967</v>
      </c>
      <c r="N386" s="35">
        <f t="shared" si="145"/>
        <v>1048420.0043943797</v>
      </c>
      <c r="O386" s="35">
        <f t="shared" si="145"/>
        <v>270118.6599999999</v>
      </c>
      <c r="P386" s="35">
        <f t="shared" si="145"/>
        <v>133023.03</v>
      </c>
      <c r="Q386" s="35">
        <f t="shared" si="145"/>
        <v>778301.3443943798</v>
      </c>
      <c r="R386" s="31">
        <f t="shared" si="145"/>
        <v>1039376.1711374405</v>
      </c>
      <c r="S386" s="41">
        <f aca="true" t="shared" si="146" ref="S386:AB386">SUM(S287:S385)</f>
        <v>96930.52</v>
      </c>
      <c r="T386" s="41">
        <f t="shared" si="146"/>
        <v>112464.82999999999</v>
      </c>
      <c r="U386" s="41">
        <f t="shared" si="146"/>
        <v>74369.71</v>
      </c>
      <c r="V386" s="41">
        <f t="shared" si="146"/>
        <v>69898.11000000002</v>
      </c>
      <c r="W386" s="41">
        <f t="shared" si="146"/>
        <v>69926.23000000001</v>
      </c>
      <c r="X386" s="41">
        <f t="shared" si="146"/>
        <v>66576.36000000002</v>
      </c>
      <c r="Y386" s="41">
        <f t="shared" si="146"/>
        <v>70950.57999999997</v>
      </c>
      <c r="Z386" s="41">
        <f t="shared" si="146"/>
        <v>66456.96</v>
      </c>
      <c r="AA386" s="41">
        <f t="shared" si="146"/>
        <v>66456.96</v>
      </c>
      <c r="AB386" s="41">
        <f t="shared" si="146"/>
        <v>25725.300000000007</v>
      </c>
      <c r="AC386" s="165">
        <f>S386+T386++U386+V386+W386+X386+Y386+Z386+AA386+AB386</f>
        <v>719755.5599999999</v>
      </c>
      <c r="AD386" s="3">
        <f aca="true" t="shared" si="147" ref="AD386:AK386">SUM(AD287:AD385)</f>
        <v>4476.7</v>
      </c>
      <c r="AE386" s="3">
        <f t="shared" si="147"/>
        <v>43716.079999999994</v>
      </c>
      <c r="AF386" s="3">
        <f t="shared" si="147"/>
        <v>4710.950000000001</v>
      </c>
      <c r="AG386" s="3">
        <f t="shared" si="147"/>
        <v>93772.26999999999</v>
      </c>
      <c r="AH386" s="3">
        <f t="shared" si="147"/>
        <v>4293</v>
      </c>
      <c r="AI386" s="3">
        <f t="shared" si="147"/>
        <v>75244.95999999998</v>
      </c>
      <c r="AJ386" s="89">
        <f t="shared" si="147"/>
        <v>945969.5199999996</v>
      </c>
      <c r="AK386" s="89">
        <f t="shared" si="147"/>
        <v>0</v>
      </c>
      <c r="AL386" s="89"/>
      <c r="AM386" s="89">
        <f>SUM(AM287:AM385)</f>
        <v>0</v>
      </c>
      <c r="AN386" s="89">
        <v>0</v>
      </c>
      <c r="AO386" s="89">
        <f aca="true" t="shared" si="148" ref="AO386:AT386">SUM(AO287:AO385)</f>
        <v>945969.5199999996</v>
      </c>
      <c r="AP386" s="89">
        <f t="shared" si="148"/>
        <v>93406.6511374402</v>
      </c>
      <c r="AQ386" s="39">
        <f t="shared" si="148"/>
        <v>0</v>
      </c>
      <c r="AR386" s="39">
        <f t="shared" si="148"/>
        <v>0</v>
      </c>
      <c r="AS386" s="39">
        <f t="shared" si="148"/>
        <v>0</v>
      </c>
      <c r="AT386" s="39">
        <f t="shared" si="148"/>
        <v>93871.43513744022</v>
      </c>
      <c r="AU386" s="39">
        <f>SUM(AU287:AU385)</f>
        <v>0</v>
      </c>
      <c r="AV386" s="39">
        <f>SUM(AV287:AV385)</f>
        <v>1619.2</v>
      </c>
      <c r="AW386" s="39"/>
      <c r="AX386" s="39">
        <f>SUM(AX287:AX385)</f>
        <v>139216.7744623499</v>
      </c>
      <c r="AY386" s="39"/>
      <c r="AZ386" s="174">
        <f>SUM(AZ287:AZ385)</f>
        <v>139216.7744623499</v>
      </c>
      <c r="BA386" s="39">
        <f>SUM(BA287:BA385)</f>
        <v>9229198.140000004</v>
      </c>
    </row>
    <row r="387" spans="1:53" s="97" customFormat="1" ht="14.25">
      <c r="A387" s="4"/>
      <c r="B387" s="23" t="s">
        <v>367</v>
      </c>
      <c r="C387" s="24">
        <f>C386+C285</f>
        <v>481200.09000000014</v>
      </c>
      <c r="D387" s="24">
        <f>D386+D285</f>
        <v>25289.599999999995</v>
      </c>
      <c r="E387" s="24">
        <f>E386+E285</f>
        <v>506489.69</v>
      </c>
      <c r="F387" s="4"/>
      <c r="G387" s="4"/>
      <c r="H387" s="4"/>
      <c r="I387" s="21">
        <f>I386+I285</f>
        <v>28744760.240599997</v>
      </c>
      <c r="J387" s="4"/>
      <c r="K387" s="4"/>
      <c r="L387" s="4"/>
      <c r="M387" s="65">
        <f aca="true" t="shared" si="149" ref="M387:R387">M386+M285</f>
        <v>31030675.16220947</v>
      </c>
      <c r="N387" s="18">
        <f t="shared" si="149"/>
        <v>59775435.4028095</v>
      </c>
      <c r="O387" s="18">
        <f t="shared" si="149"/>
        <v>8227911.26</v>
      </c>
      <c r="P387" s="18">
        <f t="shared" si="149"/>
        <v>1610263.5799999998</v>
      </c>
      <c r="Q387" s="18">
        <f t="shared" si="149"/>
        <v>51547524.14280945</v>
      </c>
      <c r="R387" s="17">
        <f t="shared" si="149"/>
        <v>54136275.181232624</v>
      </c>
      <c r="S387" s="81">
        <f aca="true" t="shared" si="150" ref="S387:AB387">S386+S285</f>
        <v>3416846.099999998</v>
      </c>
      <c r="T387" s="81">
        <f t="shared" si="150"/>
        <v>3680019.9599999995</v>
      </c>
      <c r="U387" s="81">
        <f t="shared" si="150"/>
        <v>4309783.15</v>
      </c>
      <c r="V387" s="81">
        <f t="shared" si="150"/>
        <v>3750055.109999997</v>
      </c>
      <c r="W387" s="81">
        <f t="shared" si="150"/>
        <v>4005388.2799999975</v>
      </c>
      <c r="X387" s="81">
        <f t="shared" si="150"/>
        <v>4450181.659999998</v>
      </c>
      <c r="Y387" s="81">
        <f t="shared" si="150"/>
        <v>4455947.999999997</v>
      </c>
      <c r="Z387" s="81">
        <f t="shared" si="150"/>
        <v>5001277.039999997</v>
      </c>
      <c r="AA387" s="81">
        <f t="shared" si="150"/>
        <v>4599763.569999998</v>
      </c>
      <c r="AB387" s="81">
        <f t="shared" si="150"/>
        <v>1723520.9600000004</v>
      </c>
      <c r="AC387" s="17">
        <f aca="true" t="shared" si="151" ref="AC387:AI387">AC386+AC285</f>
        <v>39392783.829999976</v>
      </c>
      <c r="AD387" s="17">
        <f t="shared" si="151"/>
        <v>1034778.8799999999</v>
      </c>
      <c r="AE387" s="17">
        <f t="shared" si="151"/>
        <v>1555240.23</v>
      </c>
      <c r="AF387" s="17">
        <f t="shared" si="151"/>
        <v>1696485.1399999992</v>
      </c>
      <c r="AG387" s="17">
        <f t="shared" si="151"/>
        <v>2682830.999999999</v>
      </c>
      <c r="AH387" s="17">
        <f t="shared" si="151"/>
        <v>1482307.229999999</v>
      </c>
      <c r="AI387" s="17">
        <f t="shared" si="151"/>
        <v>3423219.3499999987</v>
      </c>
      <c r="AJ387" s="17">
        <f aca="true" t="shared" si="152" ref="AJ387:AP387">AJ386+AJ285</f>
        <v>51267645.66</v>
      </c>
      <c r="AK387" s="17">
        <f t="shared" si="152"/>
        <v>135449.9</v>
      </c>
      <c r="AL387" s="17">
        <f t="shared" si="152"/>
        <v>23747.4</v>
      </c>
      <c r="AM387" s="17">
        <f t="shared" si="152"/>
        <v>105525.22</v>
      </c>
      <c r="AN387" s="17">
        <f t="shared" si="152"/>
        <v>1846658.88</v>
      </c>
      <c r="AO387" s="17">
        <f t="shared" si="152"/>
        <v>53379027.06</v>
      </c>
      <c r="AP387" s="17">
        <f t="shared" si="152"/>
        <v>757248.1212326664</v>
      </c>
      <c r="AQ387" s="17">
        <f aca="true" t="shared" si="153" ref="AQ387:BA387">AQ386+AQ285</f>
        <v>2156176.8899999997</v>
      </c>
      <c r="AR387" s="17">
        <f t="shared" si="153"/>
        <v>1972463.2699999993</v>
      </c>
      <c r="AS387" s="17">
        <f t="shared" si="153"/>
        <v>213355.55</v>
      </c>
      <c r="AT387" s="17">
        <f t="shared" si="153"/>
        <v>5099708.615232667</v>
      </c>
      <c r="AU387" s="17">
        <f t="shared" si="153"/>
        <v>177135</v>
      </c>
      <c r="AV387" s="17">
        <f t="shared" si="153"/>
        <v>1973817.5699999998</v>
      </c>
      <c r="AW387" s="17"/>
      <c r="AX387" s="17">
        <f t="shared" si="153"/>
        <v>9261534.440027868</v>
      </c>
      <c r="AY387" s="17"/>
      <c r="AZ387" s="175">
        <f t="shared" si="153"/>
        <v>6610768.390027861</v>
      </c>
      <c r="BA387" s="17">
        <f t="shared" si="153"/>
        <v>43132100.72999999</v>
      </c>
    </row>
    <row r="388" spans="1:44" ht="12.75">
      <c r="A388" s="1"/>
      <c r="B388" s="4"/>
      <c r="C388" s="1">
        <v>29780.7</v>
      </c>
      <c r="D388" s="1">
        <v>0</v>
      </c>
      <c r="E388" s="1">
        <v>29780.7</v>
      </c>
      <c r="O388" s="102">
        <f>O12+O15+O16+O17+O18+O19+O20+O29+O32+O33+O34+O35+O36+O37+O49+O51+O53+O54+O55+O56+O57+O59+O60+O65+O68+O107+O113+O114+O115+O116+O119+O120+O121+O123+O129+O130+O131+O137+O140+O143+O159+O162+O169+O170+O171+O172+O173+O174+O182+O186+O187+O195+O202+O203+O206+O208+O209+O210+O211+O212+O214+O215+O216+O217+O218+O219+O220+O221+O222+O223+O224+O225+O228+O229+O230+O240+O242+O243+O244+O245+O246+O252+O254+O255+O256+O257+O258+O265+O266+O267+O268+O269+O270+O271+O272+O273+O274+O275+O278+O282</f>
        <v>3934155.7600000002</v>
      </c>
      <c r="P388" s="102">
        <f>P12+P15+P16+P17+P18+P19+P20+P29+P32+P33+P34+P35+P36+P37+P49+P51+P53+P54+P55+P56+P57+P59+P60+P65+P68+P107+P113+P114+P115+P116+P119+P120+P121+P123+P129+P130+P131+P137+P140+P143+P159+P162+P169+P170+P171+P172+P173+P174+P182+P186+P187+P195+P202+P203+P206+P208+P209+P210+P211+P212+P214+P215+P216+P217+P218+P219+P220+P221+P222+P223+P224+P225+P228+P229+P230+P240+P242+P243+P244+P245+P246+P252+P254+P255+P256+P257+P258+P265+P266+P267+P268+P269+P270+P271+P272+P273+P274+P275+P278+P282</f>
        <v>489648.15</v>
      </c>
      <c r="S388" s="13"/>
      <c r="T388" s="13"/>
      <c r="U388" s="13"/>
      <c r="V388" s="13"/>
      <c r="W388" s="13"/>
      <c r="X388" s="13"/>
      <c r="Y388" s="9"/>
      <c r="Z388" s="51"/>
      <c r="AA388" s="51"/>
      <c r="AB388" s="51"/>
      <c r="AJ388" t="s">
        <v>470</v>
      </c>
      <c r="AK388" t="s">
        <v>467</v>
      </c>
      <c r="AL388" t="s">
        <v>468</v>
      </c>
      <c r="AP388" s="12"/>
      <c r="AQ388" s="51"/>
      <c r="AR388" s="51"/>
    </row>
    <row r="389" spans="1:44" ht="18">
      <c r="A389" s="1"/>
      <c r="B389" s="4"/>
      <c r="C389" s="7">
        <f>SUM(C388:C388)</f>
        <v>29780.7</v>
      </c>
      <c r="D389" s="1">
        <f>SUM(D388:D388)</f>
        <v>0</v>
      </c>
      <c r="E389" s="1">
        <f>SUM(E388:E388)</f>
        <v>29780.7</v>
      </c>
      <c r="O389" s="103">
        <f>O295+O296+O297+O298+O299+O306+O307+O308+O309+O312+O313+O314+O315+O316+O317+O323+O324+O338+O339+O340+O341+O358+O366+O375+O385</f>
        <v>48818.78</v>
      </c>
      <c r="P389" s="103">
        <f>P295+P296+P297+P298+P299+P306+P307+P308+P309+P312+P313+P314+P315+P316+P317+P323+P324+P338+P339+P340+P341+P358+P366+P375+P385</f>
        <v>12207.880000000001</v>
      </c>
      <c r="Q389">
        <f>Q387/12</f>
        <v>4295627.011900787</v>
      </c>
      <c r="R389" s="47">
        <f>R387/12</f>
        <v>4511356.265102719</v>
      </c>
      <c r="S389" s="15"/>
      <c r="T389" s="4" t="s">
        <v>487</v>
      </c>
      <c r="U389" s="81">
        <f>S387+T387+U387</f>
        <v>11406649.209999997</v>
      </c>
      <c r="V389" s="4"/>
      <c r="W389" s="4" t="s">
        <v>489</v>
      </c>
      <c r="X389" s="81">
        <f>V387+W387+X387</f>
        <v>12205625.049999993</v>
      </c>
      <c r="Y389" s="4"/>
      <c r="Z389" s="4" t="s">
        <v>488</v>
      </c>
      <c r="AA389" s="81">
        <f>Y387+Z387+AA387</f>
        <v>14056988.609999994</v>
      </c>
      <c r="AB389" s="159">
        <f>AB387</f>
        <v>1723520.9600000004</v>
      </c>
      <c r="AD389" t="s">
        <v>490</v>
      </c>
      <c r="AE389" s="93">
        <f>AE387+AG387+AI387</f>
        <v>7661290.579999997</v>
      </c>
      <c r="AI389" t="s">
        <v>417</v>
      </c>
      <c r="AJ389" s="93">
        <f>AD387+AF387+AH387</f>
        <v>4213571.249999998</v>
      </c>
      <c r="AK389">
        <v>4232037.2</v>
      </c>
      <c r="AL389" s="93">
        <f>AJ389-AK389</f>
        <v>-18465.95000000205</v>
      </c>
      <c r="AN389" s="12"/>
      <c r="AP389" s="12"/>
      <c r="AQ389" s="48"/>
      <c r="AR389" s="48"/>
    </row>
    <row r="390" spans="1:52" ht="18">
      <c r="A390" s="48"/>
      <c r="B390" s="101"/>
      <c r="C390" s="49"/>
      <c r="D390" s="48"/>
      <c r="E390" s="48"/>
      <c r="O390" s="82">
        <f>(O285)-O388</f>
        <v>4023636.8399999994</v>
      </c>
      <c r="P390" s="82">
        <f>(P285)-P388</f>
        <v>987592.3999999998</v>
      </c>
      <c r="R390" s="47"/>
      <c r="Z390" s="48"/>
      <c r="AA390" s="48"/>
      <c r="AB390" s="132">
        <f>U389+X389+AA389+AB389</f>
        <v>39392783.82999998</v>
      </c>
      <c r="AC390" s="156"/>
      <c r="AD390" t="s">
        <v>491</v>
      </c>
      <c r="AE390" s="93">
        <f>AD387+AF387+AH387</f>
        <v>4213571.249999998</v>
      </c>
      <c r="AI390" t="s">
        <v>430</v>
      </c>
      <c r="AJ390" s="93">
        <f>AE387+AG387+AI387</f>
        <v>7661290.579999997</v>
      </c>
      <c r="AK390">
        <v>7668567.13</v>
      </c>
      <c r="AL390" s="93">
        <f>AJ390-AK390</f>
        <v>-7276.550000002608</v>
      </c>
      <c r="AP390" s="12"/>
      <c r="AQ390" s="48"/>
      <c r="AR390" s="48"/>
      <c r="AZ390" s="93"/>
    </row>
    <row r="391" spans="1:44" ht="18">
      <c r="A391" s="48"/>
      <c r="B391" s="101"/>
      <c r="C391" s="49"/>
      <c r="D391" s="48"/>
      <c r="E391" s="48"/>
      <c r="O391" s="82"/>
      <c r="P391" s="82"/>
      <c r="R391" s="47"/>
      <c r="Z391" s="48"/>
      <c r="AA391" s="48"/>
      <c r="AB391" s="48"/>
      <c r="AC391" s="156"/>
      <c r="AJ391" s="108">
        <f>SUM(AJ389:AJ390)</f>
        <v>11874861.829999994</v>
      </c>
      <c r="AK391" s="109">
        <f>SUM(AK389:AK390)</f>
        <v>11900604.33</v>
      </c>
      <c r="AL391" s="93">
        <f>AL389+AL390</f>
        <v>-25742.500000004657</v>
      </c>
      <c r="AP391" s="12"/>
      <c r="AQ391" s="48"/>
      <c r="AR391" s="48"/>
    </row>
    <row r="392" spans="1:44" ht="18">
      <c r="A392" s="48"/>
      <c r="B392" s="101"/>
      <c r="C392" s="49"/>
      <c r="D392" s="48"/>
      <c r="E392" s="48"/>
      <c r="O392" s="26">
        <f>O386-O389</f>
        <v>221299.87999999992</v>
      </c>
      <c r="P392" s="26">
        <f>P386-P389</f>
        <v>120815.15</v>
      </c>
      <c r="R392" s="47"/>
      <c r="Z392" s="48"/>
      <c r="AA392" s="48"/>
      <c r="AB392" s="48"/>
      <c r="AI392" s="97" t="s">
        <v>466</v>
      </c>
      <c r="AJ392" s="1" t="s">
        <v>438</v>
      </c>
      <c r="AK392" s="1"/>
      <c r="AP392" s="12"/>
      <c r="AQ392" s="48"/>
      <c r="AR392" s="48"/>
    </row>
    <row r="393" spans="1:44" ht="18">
      <c r="A393" s="48"/>
      <c r="B393" s="48"/>
      <c r="C393" s="49"/>
      <c r="D393" s="48"/>
      <c r="E393" s="48"/>
      <c r="O393" s="12"/>
      <c r="P393" s="12"/>
      <c r="R393" s="47"/>
      <c r="AI393" t="s">
        <v>440</v>
      </c>
      <c r="AJ393" s="1">
        <v>1034778.85</v>
      </c>
      <c r="AK393" s="1" t="s">
        <v>429</v>
      </c>
      <c r="AP393" s="12"/>
      <c r="AQ393" s="48"/>
      <c r="AR393" s="48"/>
    </row>
    <row r="394" spans="25:44" ht="20.25">
      <c r="Y394" s="123" t="s">
        <v>464</v>
      </c>
      <c r="Z394" s="188" t="s">
        <v>463</v>
      </c>
      <c r="AA394" s="189"/>
      <c r="AB394" s="189"/>
      <c r="AC394" s="189"/>
      <c r="AD394" s="189"/>
      <c r="AE394" s="189"/>
      <c r="AF394" s="104"/>
      <c r="AG394" s="104"/>
      <c r="AH394" s="104"/>
      <c r="AI394" s="104"/>
      <c r="AJ394" s="1">
        <v>1700344.08</v>
      </c>
      <c r="AK394" s="1" t="s">
        <v>396</v>
      </c>
      <c r="AP394" s="12"/>
      <c r="AQ394" s="48"/>
      <c r="AR394" s="48"/>
    </row>
    <row r="395" spans="25:44" ht="12.75">
      <c r="Y395" s="124"/>
      <c r="AJ395" s="1">
        <v>1496914.27</v>
      </c>
      <c r="AK395" s="1" t="s">
        <v>437</v>
      </c>
      <c r="AP395" s="12"/>
      <c r="AQ395" s="48"/>
      <c r="AR395" s="48"/>
    </row>
    <row r="396" spans="25:44" ht="12.75">
      <c r="Y396" s="124"/>
      <c r="AJ396" s="107">
        <f>SUM(AJ393:AJ395)</f>
        <v>4232037.2</v>
      </c>
      <c r="AK396" s="48"/>
      <c r="AP396" s="12"/>
      <c r="AQ396" s="48"/>
      <c r="AR396" s="48"/>
    </row>
    <row r="397" spans="25:44" ht="12.75">
      <c r="Y397" s="123" t="s">
        <v>465</v>
      </c>
      <c r="Z397" s="186" t="s">
        <v>434</v>
      </c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7"/>
      <c r="AP397" s="12"/>
      <c r="AQ397" s="48"/>
      <c r="AR397" s="48"/>
    </row>
    <row r="398" spans="26:44" ht="12.75">
      <c r="Z398" s="105"/>
      <c r="AA398" s="105"/>
      <c r="AB398" s="105"/>
      <c r="AC398" s="157"/>
      <c r="AD398" s="105"/>
      <c r="AE398" s="105"/>
      <c r="AF398" s="105"/>
      <c r="AG398" s="105"/>
      <c r="AH398" s="105"/>
      <c r="AI398" s="105"/>
      <c r="AJ398" s="106"/>
      <c r="AP398" s="12"/>
      <c r="AQ398" s="48"/>
      <c r="AR398" s="48"/>
    </row>
    <row r="399" spans="35:44" ht="12.75">
      <c r="AI399" s="104"/>
      <c r="AJ399" s="1" t="s">
        <v>439</v>
      </c>
      <c r="AK399" s="1"/>
      <c r="AP399" s="12"/>
      <c r="AQ399" s="48"/>
      <c r="AR399" s="48"/>
    </row>
    <row r="400" spans="26:44" ht="12.75">
      <c r="Z400" s="183"/>
      <c r="AA400" s="183"/>
      <c r="AB400" s="183"/>
      <c r="AC400" s="183"/>
      <c r="AD400" s="183"/>
      <c r="AE400" s="183"/>
      <c r="AF400" s="183"/>
      <c r="AG400" s="183"/>
      <c r="AH400" s="48"/>
      <c r="AJ400" s="80">
        <v>1555240.23</v>
      </c>
      <c r="AK400" s="1" t="s">
        <v>429</v>
      </c>
      <c r="AP400" s="12"/>
      <c r="AQ400" s="48"/>
      <c r="AR400" s="48"/>
    </row>
    <row r="401" spans="26:44" ht="12.75">
      <c r="Z401" s="48"/>
      <c r="AA401" s="48"/>
      <c r="AB401" s="48"/>
      <c r="AC401" s="158"/>
      <c r="AD401" s="48"/>
      <c r="AE401" s="48"/>
      <c r="AF401" s="48"/>
      <c r="AG401" s="48"/>
      <c r="AH401" s="48"/>
      <c r="AJ401" s="80">
        <v>2682830.56</v>
      </c>
      <c r="AK401" s="1" t="s">
        <v>396</v>
      </c>
      <c r="AP401" s="12"/>
      <c r="AQ401" s="48"/>
      <c r="AR401" s="48"/>
    </row>
    <row r="402" spans="26:44" ht="20.25">
      <c r="Z402" s="180"/>
      <c r="AA402" s="181"/>
      <c r="AB402" s="181"/>
      <c r="AC402" s="181"/>
      <c r="AD402" s="181"/>
      <c r="AE402" s="181"/>
      <c r="AF402" s="182"/>
      <c r="AG402" s="182"/>
      <c r="AH402" s="182"/>
      <c r="AJ402" s="80">
        <v>3430496.34</v>
      </c>
      <c r="AK402" s="1" t="s">
        <v>437</v>
      </c>
      <c r="AP402" s="12"/>
      <c r="AQ402" s="48"/>
      <c r="AR402" s="48"/>
    </row>
    <row r="403" spans="26:44" ht="20.25">
      <c r="Z403" s="180"/>
      <c r="AA403" s="181"/>
      <c r="AB403" s="181"/>
      <c r="AC403" s="181"/>
      <c r="AD403" s="181"/>
      <c r="AE403" s="181"/>
      <c r="AF403" s="182"/>
      <c r="AG403" s="182"/>
      <c r="AH403" s="182"/>
      <c r="AJ403" s="97">
        <f>SUM(AJ400:AJ402)</f>
        <v>7668567.13</v>
      </c>
      <c r="AP403" s="12"/>
      <c r="AQ403" s="48"/>
      <c r="AR403" s="48"/>
    </row>
    <row r="404" spans="26:44" ht="12.75">
      <c r="Z404" s="48"/>
      <c r="AA404" s="48"/>
      <c r="AB404" s="48"/>
      <c r="AC404" s="158"/>
      <c r="AD404" s="48"/>
      <c r="AE404" s="48"/>
      <c r="AF404" s="48"/>
      <c r="AG404" s="48"/>
      <c r="AH404" s="48"/>
      <c r="AP404" s="12"/>
      <c r="AQ404" s="48"/>
      <c r="AR404" s="48"/>
    </row>
    <row r="405" spans="26:44" ht="18">
      <c r="Z405" s="48"/>
      <c r="AA405" s="48"/>
      <c r="AB405" s="48"/>
      <c r="AC405" s="158"/>
      <c r="AD405" s="125"/>
      <c r="AE405" s="126"/>
      <c r="AF405" s="48"/>
      <c r="AG405" s="48"/>
      <c r="AH405" s="48"/>
      <c r="AJ405" s="109">
        <f>AJ396+AJ403</f>
        <v>11900604.33</v>
      </c>
      <c r="AP405" s="12"/>
      <c r="AQ405" s="48"/>
      <c r="AR405" s="48"/>
    </row>
    <row r="406" spans="42:44" ht="12.75">
      <c r="AP406" s="12"/>
      <c r="AQ406" s="48"/>
      <c r="AR406" s="48"/>
    </row>
    <row r="407" spans="34:44" ht="12.75">
      <c r="AH407" t="s">
        <v>469</v>
      </c>
      <c r="AJ407" s="93">
        <f>AJ405-AJ391</f>
        <v>25742.500000005588</v>
      </c>
      <c r="AP407" s="12"/>
      <c r="AQ407" s="48"/>
      <c r="AR407" s="48"/>
    </row>
    <row r="408" spans="42:44" ht="12.75">
      <c r="AP408" s="12"/>
      <c r="AQ408" s="48"/>
      <c r="AR408" s="48"/>
    </row>
    <row r="409" spans="42:44" ht="12.75">
      <c r="AP409" s="12"/>
      <c r="AQ409" s="48"/>
      <c r="AR409" s="48"/>
    </row>
    <row r="410" spans="42:44" ht="12.75">
      <c r="AP410" s="12"/>
      <c r="AQ410" s="48"/>
      <c r="AR410" s="48"/>
    </row>
    <row r="411" spans="42:44" ht="12.75">
      <c r="AP411" s="12"/>
      <c r="AQ411" s="48"/>
      <c r="AR411" s="48"/>
    </row>
    <row r="412" spans="42:44" ht="12.75">
      <c r="AP412" s="12"/>
      <c r="AQ412" s="48"/>
      <c r="AR412" s="48"/>
    </row>
    <row r="413" spans="42:44" ht="12.75">
      <c r="AP413" s="12"/>
      <c r="AQ413" s="48"/>
      <c r="AR413" s="48"/>
    </row>
    <row r="414" spans="43:44" ht="12.75">
      <c r="AQ414" s="48"/>
      <c r="AR414" s="48"/>
    </row>
    <row r="415" spans="43:44" ht="12.75">
      <c r="AQ415" s="48"/>
      <c r="AR415" s="48"/>
    </row>
    <row r="416" spans="43:44" ht="12.75">
      <c r="AQ416" s="48"/>
      <c r="AR416" s="48"/>
    </row>
    <row r="417" spans="43:44" ht="12.75">
      <c r="AQ417" s="48"/>
      <c r="AR417" s="48"/>
    </row>
    <row r="418" spans="43:44" ht="12.75">
      <c r="AQ418" s="48"/>
      <c r="AR418" s="48"/>
    </row>
    <row r="419" spans="43:44" ht="12.75">
      <c r="AQ419" s="48"/>
      <c r="AR419" s="48"/>
    </row>
    <row r="420" spans="43:44" ht="12.75">
      <c r="AQ420" s="48"/>
      <c r="AR420" s="48"/>
    </row>
    <row r="421" spans="43:44" ht="12.75">
      <c r="AQ421" s="48"/>
      <c r="AR421" s="48"/>
    </row>
    <row r="428" spans="1:16" ht="18">
      <c r="A428" s="48"/>
      <c r="B428" s="47" t="s">
        <v>395</v>
      </c>
      <c r="C428" s="49"/>
      <c r="D428" s="48"/>
      <c r="E428" s="66" t="s">
        <v>406</v>
      </c>
      <c r="O428" s="12"/>
      <c r="P428" s="12"/>
    </row>
    <row r="429" spans="15:16" ht="12.75">
      <c r="O429" s="12"/>
      <c r="P429" s="12"/>
    </row>
    <row r="430" spans="15:16" ht="12.75">
      <c r="O430" s="12"/>
      <c r="P430" s="12"/>
    </row>
    <row r="431" spans="1:18" ht="12.75">
      <c r="A431" s="1">
        <v>11</v>
      </c>
      <c r="B431" s="1" t="s">
        <v>13</v>
      </c>
      <c r="C431" s="1">
        <v>499</v>
      </c>
      <c r="D431" s="1">
        <v>0</v>
      </c>
      <c r="E431" s="7">
        <f>C431+D431</f>
        <v>499</v>
      </c>
      <c r="F431" s="5">
        <v>2.9</v>
      </c>
      <c r="G431" s="5">
        <v>6.98</v>
      </c>
      <c r="H431" s="5">
        <f>F431+G431</f>
        <v>9.88</v>
      </c>
      <c r="I431" s="28">
        <f>E431*H431*6</f>
        <v>29580.720000000005</v>
      </c>
      <c r="J431" s="5">
        <f aca="true" t="shared" si="154" ref="J431:K434">F431*1.067*1.002363</f>
        <v>3.101611830899999</v>
      </c>
      <c r="K431" s="5">
        <f t="shared" si="154"/>
        <v>7.465258820579999</v>
      </c>
      <c r="L431" s="27">
        <f>J431+K431</f>
        <v>10.566870651479999</v>
      </c>
      <c r="M431" s="30">
        <f>L431*E431*6</f>
        <v>31637.210730531115</v>
      </c>
      <c r="N431" s="30">
        <f>I431+M431</f>
        <v>61217.93073053112</v>
      </c>
      <c r="O431" s="34">
        <v>47002.59</v>
      </c>
      <c r="P431" s="34">
        <v>12135.36</v>
      </c>
      <c r="Q431" s="5">
        <f>N431-O431</f>
        <v>14215.340730531127</v>
      </c>
      <c r="R431" s="5">
        <f>Q431+P431</f>
        <v>26350.700730531127</v>
      </c>
    </row>
    <row r="432" spans="1:18" ht="12.75">
      <c r="A432" s="1"/>
      <c r="B432" s="1"/>
      <c r="C432" s="1"/>
      <c r="D432" s="1"/>
      <c r="E432" s="7"/>
      <c r="F432" s="5"/>
      <c r="G432" s="5"/>
      <c r="H432" s="5"/>
      <c r="I432" s="28"/>
      <c r="J432" s="5"/>
      <c r="K432" s="5"/>
      <c r="L432" s="27"/>
      <c r="M432" s="30"/>
      <c r="N432" s="30"/>
      <c r="O432" s="34"/>
      <c r="P432" s="34"/>
      <c r="Q432" s="5"/>
      <c r="R432" s="5"/>
    </row>
    <row r="433" spans="1:18" ht="12.75">
      <c r="A433" s="1">
        <v>60</v>
      </c>
      <c r="B433" s="1" t="s">
        <v>71</v>
      </c>
      <c r="C433" s="1">
        <v>600.9</v>
      </c>
      <c r="D433" s="1">
        <v>0</v>
      </c>
      <c r="E433" s="7">
        <f>C433+D433</f>
        <v>600.9</v>
      </c>
      <c r="F433" s="5">
        <v>2.9</v>
      </c>
      <c r="G433" s="5">
        <v>6.16</v>
      </c>
      <c r="H433" s="5">
        <f>F433+G433</f>
        <v>9.06</v>
      </c>
      <c r="I433" s="28">
        <f>E433*H433*6</f>
        <v>32664.924000000003</v>
      </c>
      <c r="J433" s="5">
        <f t="shared" si="154"/>
        <v>3.101611830899999</v>
      </c>
      <c r="K433" s="5">
        <f t="shared" si="154"/>
        <v>6.588251337359999</v>
      </c>
      <c r="L433" s="27">
        <f>J433+K433</f>
        <v>9.689863168259999</v>
      </c>
      <c r="M433" s="30">
        <f>L433*E433*6</f>
        <v>34935.832666844595</v>
      </c>
      <c r="N433" s="30">
        <f>I433+M433</f>
        <v>67600.7566668446</v>
      </c>
      <c r="O433" s="34">
        <v>44318.32</v>
      </c>
      <c r="P433" s="34"/>
      <c r="Q433" s="5">
        <f>N433-O433</f>
        <v>23282.436666844595</v>
      </c>
      <c r="R433" s="5">
        <f>Q433+P433</f>
        <v>23282.436666844595</v>
      </c>
    </row>
    <row r="434" spans="1:18" ht="12.75">
      <c r="A434" s="1">
        <v>61</v>
      </c>
      <c r="B434" s="1" t="s">
        <v>72</v>
      </c>
      <c r="C434" s="1">
        <v>380.3</v>
      </c>
      <c r="D434" s="1">
        <v>0</v>
      </c>
      <c r="E434" s="7">
        <f>C434+D434</f>
        <v>380.3</v>
      </c>
      <c r="F434" s="5">
        <v>2.9</v>
      </c>
      <c r="G434" s="5">
        <v>6.05</v>
      </c>
      <c r="H434" s="5">
        <f>F434+G434</f>
        <v>8.95</v>
      </c>
      <c r="I434" s="28">
        <f>E434*H434*6</f>
        <v>20422.11</v>
      </c>
      <c r="J434" s="5">
        <f t="shared" si="154"/>
        <v>3.101611830899999</v>
      </c>
      <c r="K434" s="5">
        <f t="shared" si="154"/>
        <v>6.470603992049998</v>
      </c>
      <c r="L434" s="27">
        <f>J434+K434</f>
        <v>9.572215822949998</v>
      </c>
      <c r="M434" s="30">
        <f>L434*E434*6</f>
        <v>21841.882064807305</v>
      </c>
      <c r="N434" s="30">
        <f>I434+M434</f>
        <v>42263.9920648073</v>
      </c>
      <c r="O434" s="34">
        <v>54449.68</v>
      </c>
      <c r="P434" s="34"/>
      <c r="Q434" s="5">
        <f>N434-O434</f>
        <v>-12185.687935192698</v>
      </c>
      <c r="R434" s="28">
        <v>10528.82</v>
      </c>
    </row>
    <row r="435" spans="1:18" ht="12.75">
      <c r="A435" s="1">
        <v>71</v>
      </c>
      <c r="B435" s="1" t="s">
        <v>82</v>
      </c>
      <c r="C435" s="1">
        <v>361.2</v>
      </c>
      <c r="D435" s="1">
        <v>0</v>
      </c>
      <c r="E435" s="7">
        <f aca="true" t="shared" si="155" ref="E435:E445">C435+D435</f>
        <v>361.2</v>
      </c>
      <c r="F435" s="5">
        <v>2.9</v>
      </c>
      <c r="G435" s="5">
        <v>6.16</v>
      </c>
      <c r="H435" s="5">
        <f aca="true" t="shared" si="156" ref="H435:H445">F435+G435</f>
        <v>9.06</v>
      </c>
      <c r="I435" s="28">
        <f aca="true" t="shared" si="157" ref="I435:I445">E435*H435*6</f>
        <v>19634.832000000002</v>
      </c>
      <c r="J435" s="5">
        <f aca="true" t="shared" si="158" ref="J435:J445">F435*1.067*1.002363</f>
        <v>3.101611830899999</v>
      </c>
      <c r="K435" s="5">
        <f aca="true" t="shared" si="159" ref="K435:K445">G435*1.067*1.002363</f>
        <v>6.588251337359999</v>
      </c>
      <c r="L435" s="27">
        <f aca="true" t="shared" si="160" ref="L435:L445">J435+K435</f>
        <v>9.689863168259999</v>
      </c>
      <c r="M435" s="30">
        <f aca="true" t="shared" si="161" ref="M435:M445">L435*E435*6</f>
        <v>20999.871458253067</v>
      </c>
      <c r="N435" s="30">
        <f aca="true" t="shared" si="162" ref="N435:N445">I435+M435</f>
        <v>40634.70345825307</v>
      </c>
      <c r="O435" s="34">
        <v>104575.24</v>
      </c>
      <c r="P435" s="34"/>
      <c r="Q435" s="5">
        <f aca="true" t="shared" si="163" ref="Q435:Q445">N435-O435</f>
        <v>-63940.53654174694</v>
      </c>
      <c r="R435" s="28">
        <v>10107.1</v>
      </c>
    </row>
    <row r="436" spans="1:18" ht="12.75">
      <c r="A436" s="1">
        <v>75</v>
      </c>
      <c r="B436" s="1" t="s">
        <v>86</v>
      </c>
      <c r="C436" s="1">
        <v>358.3</v>
      </c>
      <c r="D436" s="1">
        <v>0</v>
      </c>
      <c r="E436" s="7">
        <f t="shared" si="155"/>
        <v>358.3</v>
      </c>
      <c r="F436" s="5">
        <v>2.9</v>
      </c>
      <c r="G436" s="5">
        <v>6.16</v>
      </c>
      <c r="H436" s="5">
        <f t="shared" si="156"/>
        <v>9.06</v>
      </c>
      <c r="I436" s="28">
        <f t="shared" si="157"/>
        <v>19477.188000000002</v>
      </c>
      <c r="J436" s="5">
        <f t="shared" si="158"/>
        <v>3.101611830899999</v>
      </c>
      <c r="K436" s="5">
        <f t="shared" si="159"/>
        <v>6.588251337359999</v>
      </c>
      <c r="L436" s="27">
        <f t="shared" si="160"/>
        <v>9.689863168259999</v>
      </c>
      <c r="M436" s="30">
        <f t="shared" si="161"/>
        <v>20831.267839125343</v>
      </c>
      <c r="N436" s="30">
        <f t="shared" si="162"/>
        <v>40308.455839125345</v>
      </c>
      <c r="O436" s="34">
        <v>99117.64</v>
      </c>
      <c r="P436" s="34"/>
      <c r="Q436" s="5">
        <f t="shared" si="163"/>
        <v>-58809.184160874654</v>
      </c>
      <c r="R436" s="28">
        <v>10014.36</v>
      </c>
    </row>
    <row r="437" spans="1:18" ht="12.75">
      <c r="A437" s="1">
        <v>79</v>
      </c>
      <c r="B437" s="1" t="s">
        <v>90</v>
      </c>
      <c r="C437" s="1">
        <v>626.5</v>
      </c>
      <c r="D437" s="1">
        <v>0</v>
      </c>
      <c r="E437" s="7">
        <f t="shared" si="155"/>
        <v>626.5</v>
      </c>
      <c r="F437" s="5">
        <v>2.9</v>
      </c>
      <c r="G437" s="5">
        <v>6.16</v>
      </c>
      <c r="H437" s="5">
        <f t="shared" si="156"/>
        <v>9.06</v>
      </c>
      <c r="I437" s="28">
        <f t="shared" si="157"/>
        <v>34056.54</v>
      </c>
      <c r="J437" s="5">
        <f t="shared" si="158"/>
        <v>3.101611830899999</v>
      </c>
      <c r="K437" s="5">
        <f t="shared" si="159"/>
        <v>6.588251337359999</v>
      </c>
      <c r="L437" s="27">
        <f t="shared" si="160"/>
        <v>9.689863168259999</v>
      </c>
      <c r="M437" s="30">
        <f t="shared" si="161"/>
        <v>36424.19564948934</v>
      </c>
      <c r="N437" s="30">
        <f t="shared" si="162"/>
        <v>70480.73564948933</v>
      </c>
      <c r="O437" s="34">
        <v>59347.82</v>
      </c>
      <c r="P437" s="34">
        <v>8653.15</v>
      </c>
      <c r="Q437" s="5">
        <f t="shared" si="163"/>
        <v>11132.915649489332</v>
      </c>
      <c r="R437" s="5">
        <f>Q437+P437</f>
        <v>19786.065649489334</v>
      </c>
    </row>
    <row r="438" spans="1:18" ht="12.75">
      <c r="A438" s="1">
        <v>87</v>
      </c>
      <c r="B438" s="1" t="s">
        <v>99</v>
      </c>
      <c r="C438" s="1">
        <v>622.5</v>
      </c>
      <c r="D438" s="1">
        <v>0</v>
      </c>
      <c r="E438" s="7">
        <f t="shared" si="155"/>
        <v>622.5</v>
      </c>
      <c r="F438" s="5">
        <v>2.9</v>
      </c>
      <c r="G438" s="5">
        <v>6.36</v>
      </c>
      <c r="H438" s="5">
        <f t="shared" si="156"/>
        <v>9.26</v>
      </c>
      <c r="I438" s="28">
        <f t="shared" si="157"/>
        <v>34586.1</v>
      </c>
      <c r="J438" s="5">
        <f t="shared" si="158"/>
        <v>3.101611830899999</v>
      </c>
      <c r="K438" s="5">
        <f t="shared" si="159"/>
        <v>6.80215560156</v>
      </c>
      <c r="L438" s="27">
        <f t="shared" si="160"/>
        <v>9.903767432459999</v>
      </c>
      <c r="M438" s="30">
        <f t="shared" si="161"/>
        <v>36990.5713602381</v>
      </c>
      <c r="N438" s="30">
        <f t="shared" si="162"/>
        <v>71576.6713602381</v>
      </c>
      <c r="O438" s="34">
        <v>41348.15</v>
      </c>
      <c r="P438" s="34"/>
      <c r="Q438" s="5">
        <f t="shared" si="163"/>
        <v>30228.521360238105</v>
      </c>
      <c r="R438" s="5">
        <f>Q438+P438</f>
        <v>30228.521360238105</v>
      </c>
    </row>
    <row r="439" spans="1:18" ht="12.75">
      <c r="A439" s="1">
        <v>95</v>
      </c>
      <c r="B439" s="1" t="s">
        <v>109</v>
      </c>
      <c r="C439" s="1">
        <v>571.6</v>
      </c>
      <c r="D439" s="1">
        <v>0</v>
      </c>
      <c r="E439" s="7">
        <f t="shared" si="155"/>
        <v>571.6</v>
      </c>
      <c r="F439" s="5">
        <v>2.9</v>
      </c>
      <c r="G439" s="5">
        <v>5.96</v>
      </c>
      <c r="H439" s="5">
        <f t="shared" si="156"/>
        <v>8.86</v>
      </c>
      <c r="I439" s="28">
        <f t="shared" si="157"/>
        <v>30386.256</v>
      </c>
      <c r="J439" s="5">
        <f t="shared" si="158"/>
        <v>3.101611830899999</v>
      </c>
      <c r="K439" s="5">
        <f t="shared" si="159"/>
        <v>6.374347073159999</v>
      </c>
      <c r="L439" s="27">
        <f t="shared" si="160"/>
        <v>9.475958904059999</v>
      </c>
      <c r="M439" s="30">
        <f t="shared" si="161"/>
        <v>32498.748657364173</v>
      </c>
      <c r="N439" s="30">
        <f t="shared" si="162"/>
        <v>62885.004657364174</v>
      </c>
      <c r="O439" s="34">
        <v>42757.52</v>
      </c>
      <c r="P439" s="34"/>
      <c r="Q439" s="5">
        <f t="shared" si="163"/>
        <v>20127.484657364177</v>
      </c>
      <c r="R439" s="5">
        <f>Q439+P439</f>
        <v>20127.484657364177</v>
      </c>
    </row>
    <row r="440" spans="1:18" ht="12.75">
      <c r="A440" s="1">
        <v>96</v>
      </c>
      <c r="B440" s="1" t="s">
        <v>110</v>
      </c>
      <c r="C440" s="1">
        <v>490</v>
      </c>
      <c r="D440" s="1">
        <v>0</v>
      </c>
      <c r="E440" s="7">
        <f t="shared" si="155"/>
        <v>490</v>
      </c>
      <c r="F440" s="5">
        <v>2.9</v>
      </c>
      <c r="G440" s="5">
        <v>6.98</v>
      </c>
      <c r="H440" s="5">
        <f t="shared" si="156"/>
        <v>9.88</v>
      </c>
      <c r="I440" s="28">
        <f t="shared" si="157"/>
        <v>29047.200000000004</v>
      </c>
      <c r="J440" s="5">
        <f t="shared" si="158"/>
        <v>3.101611830899999</v>
      </c>
      <c r="K440" s="5">
        <f t="shared" si="159"/>
        <v>7.465258820579999</v>
      </c>
      <c r="L440" s="27">
        <f t="shared" si="160"/>
        <v>10.566870651479999</v>
      </c>
      <c r="M440" s="30">
        <f t="shared" si="161"/>
        <v>31066.599715351193</v>
      </c>
      <c r="N440" s="30">
        <f t="shared" si="162"/>
        <v>60113.7997153512</v>
      </c>
      <c r="O440" s="34">
        <v>41185.65</v>
      </c>
      <c r="P440" s="34">
        <v>5119.2</v>
      </c>
      <c r="Q440" s="5">
        <f t="shared" si="163"/>
        <v>18928.149715351195</v>
      </c>
      <c r="R440" s="5">
        <f>Q440+P440</f>
        <v>24047.349715351196</v>
      </c>
    </row>
    <row r="441" spans="1:18" ht="12.75">
      <c r="A441" s="1">
        <v>99</v>
      </c>
      <c r="B441" s="1" t="s">
        <v>113</v>
      </c>
      <c r="C441" s="1">
        <v>411</v>
      </c>
      <c r="D441" s="1">
        <v>0</v>
      </c>
      <c r="E441" s="7">
        <f t="shared" si="155"/>
        <v>411</v>
      </c>
      <c r="F441" s="5">
        <v>2.9</v>
      </c>
      <c r="G441" s="5">
        <v>5.96</v>
      </c>
      <c r="H441" s="5">
        <f t="shared" si="156"/>
        <v>8.86</v>
      </c>
      <c r="I441" s="28">
        <f t="shared" si="157"/>
        <v>21848.76</v>
      </c>
      <c r="J441" s="5">
        <f t="shared" si="158"/>
        <v>3.101611830899999</v>
      </c>
      <c r="K441" s="5">
        <f t="shared" si="159"/>
        <v>6.374347073159999</v>
      </c>
      <c r="L441" s="27">
        <f t="shared" si="160"/>
        <v>9.475958904059999</v>
      </c>
      <c r="M441" s="30">
        <f t="shared" si="161"/>
        <v>23367.714657411958</v>
      </c>
      <c r="N441" s="30">
        <f t="shared" si="162"/>
        <v>45216.474657411956</v>
      </c>
      <c r="O441" s="34">
        <v>47716.24</v>
      </c>
      <c r="P441" s="34">
        <v>15016.97</v>
      </c>
      <c r="Q441" s="5">
        <f t="shared" si="163"/>
        <v>-2499.7653425880417</v>
      </c>
      <c r="R441" s="5">
        <f>Q441+P441</f>
        <v>12517.204657411958</v>
      </c>
    </row>
    <row r="442" spans="1:18" ht="12.75">
      <c r="A442" s="1">
        <v>104</v>
      </c>
      <c r="B442" s="1" t="s">
        <v>118</v>
      </c>
      <c r="C442" s="1">
        <v>655.8</v>
      </c>
      <c r="D442" s="1">
        <v>0</v>
      </c>
      <c r="E442" s="7">
        <f t="shared" si="155"/>
        <v>655.8</v>
      </c>
      <c r="F442" s="5">
        <v>2.9</v>
      </c>
      <c r="G442" s="5">
        <v>7.85</v>
      </c>
      <c r="H442" s="5">
        <f t="shared" si="156"/>
        <v>10.75</v>
      </c>
      <c r="I442" s="28">
        <f t="shared" si="157"/>
        <v>42299.1</v>
      </c>
      <c r="J442" s="5">
        <f t="shared" si="158"/>
        <v>3.101611830899999</v>
      </c>
      <c r="K442" s="5">
        <f t="shared" si="159"/>
        <v>8.395742369849998</v>
      </c>
      <c r="L442" s="27">
        <f t="shared" si="160"/>
        <v>11.497354200749998</v>
      </c>
      <c r="M442" s="30">
        <f t="shared" si="161"/>
        <v>45239.78930911109</v>
      </c>
      <c r="N442" s="30">
        <f t="shared" si="162"/>
        <v>87538.88930911108</v>
      </c>
      <c r="O442" s="34">
        <v>129283.79</v>
      </c>
      <c r="P442" s="34"/>
      <c r="Q442" s="5">
        <f t="shared" si="163"/>
        <v>-41744.90069088891</v>
      </c>
      <c r="R442" s="28">
        <v>16611.86</v>
      </c>
    </row>
    <row r="443" spans="1:18" ht="12.75">
      <c r="A443" s="1">
        <v>109</v>
      </c>
      <c r="B443" s="1" t="s">
        <v>125</v>
      </c>
      <c r="C443" s="1">
        <v>709.8</v>
      </c>
      <c r="D443" s="1">
        <v>0</v>
      </c>
      <c r="E443" s="7">
        <f t="shared" si="155"/>
        <v>709.8</v>
      </c>
      <c r="F443" s="5">
        <v>2.9</v>
      </c>
      <c r="G443" s="5">
        <v>6.1</v>
      </c>
      <c r="H443" s="5">
        <f t="shared" si="156"/>
        <v>9</v>
      </c>
      <c r="I443" s="28">
        <f t="shared" si="157"/>
        <v>38329.2</v>
      </c>
      <c r="J443" s="5">
        <f t="shared" si="158"/>
        <v>3.101611830899999</v>
      </c>
      <c r="K443" s="5">
        <f t="shared" si="159"/>
        <v>6.524080058099998</v>
      </c>
      <c r="L443" s="27">
        <f t="shared" si="160"/>
        <v>9.625691888999997</v>
      </c>
      <c r="M443" s="30">
        <f t="shared" si="161"/>
        <v>40993.896616873186</v>
      </c>
      <c r="N443" s="30">
        <f t="shared" si="162"/>
        <v>79323.09661687318</v>
      </c>
      <c r="O443" s="34">
        <v>97581.26</v>
      </c>
      <c r="P443" s="34"/>
      <c r="Q443" s="5">
        <f t="shared" si="163"/>
        <v>-18258.163383126812</v>
      </c>
      <c r="R443" s="28">
        <v>17804.18</v>
      </c>
    </row>
    <row r="444" spans="1:18" ht="12.75">
      <c r="A444" s="1">
        <v>114</v>
      </c>
      <c r="B444" s="1" t="s">
        <v>130</v>
      </c>
      <c r="C444" s="1">
        <v>885.2</v>
      </c>
      <c r="D444" s="1">
        <v>95.7</v>
      </c>
      <c r="E444" s="7">
        <f t="shared" si="155"/>
        <v>980.9000000000001</v>
      </c>
      <c r="F444" s="5">
        <v>2.9</v>
      </c>
      <c r="G444" s="5">
        <v>7.85</v>
      </c>
      <c r="H444" s="5">
        <f t="shared" si="156"/>
        <v>10.75</v>
      </c>
      <c r="I444" s="28">
        <f t="shared" si="157"/>
        <v>63268.05</v>
      </c>
      <c r="J444" s="5">
        <f t="shared" si="158"/>
        <v>3.101611830899999</v>
      </c>
      <c r="K444" s="5">
        <f t="shared" si="159"/>
        <v>8.395742369849998</v>
      </c>
      <c r="L444" s="27">
        <f t="shared" si="160"/>
        <v>11.497354200749998</v>
      </c>
      <c r="M444" s="30">
        <f t="shared" si="161"/>
        <v>67666.52841309404</v>
      </c>
      <c r="N444" s="30">
        <f t="shared" si="162"/>
        <v>130934.57841309404</v>
      </c>
      <c r="O444" s="34">
        <v>89198.13</v>
      </c>
      <c r="P444" s="34"/>
      <c r="Q444" s="5">
        <f t="shared" si="163"/>
        <v>41736.44841309404</v>
      </c>
      <c r="R444" s="5">
        <f>Q444+P444</f>
        <v>41736.44841309404</v>
      </c>
    </row>
    <row r="445" spans="1:18" ht="12.75">
      <c r="A445" s="1">
        <v>128</v>
      </c>
      <c r="B445" s="1" t="s">
        <v>144</v>
      </c>
      <c r="C445" s="1">
        <v>462.1</v>
      </c>
      <c r="D445" s="1">
        <v>0</v>
      </c>
      <c r="E445" s="7">
        <f t="shared" si="155"/>
        <v>462.1</v>
      </c>
      <c r="F445" s="5">
        <v>2.9</v>
      </c>
      <c r="G445" s="5">
        <v>5.96</v>
      </c>
      <c r="H445" s="5">
        <f t="shared" si="156"/>
        <v>8.86</v>
      </c>
      <c r="I445" s="28">
        <f t="shared" si="157"/>
        <v>24565.236</v>
      </c>
      <c r="J445" s="5">
        <f t="shared" si="158"/>
        <v>3.101611830899999</v>
      </c>
      <c r="K445" s="5">
        <f t="shared" si="159"/>
        <v>6.374347073159999</v>
      </c>
      <c r="L445" s="27">
        <f t="shared" si="160"/>
        <v>9.475958904059999</v>
      </c>
      <c r="M445" s="30">
        <f t="shared" si="161"/>
        <v>26273.043657396753</v>
      </c>
      <c r="N445" s="30">
        <f t="shared" si="162"/>
        <v>50838.27965739675</v>
      </c>
      <c r="O445" s="34">
        <v>27848.53</v>
      </c>
      <c r="P445" s="34"/>
      <c r="Q445" s="5">
        <f t="shared" si="163"/>
        <v>22989.74965739675</v>
      </c>
      <c r="R445" s="5">
        <f>Q445+P445</f>
        <v>22989.74965739675</v>
      </c>
    </row>
    <row r="446" spans="1:18" ht="12.75">
      <c r="A446" s="1">
        <v>130</v>
      </c>
      <c r="B446" s="1" t="s">
        <v>146</v>
      </c>
      <c r="C446" s="1">
        <v>629</v>
      </c>
      <c r="D446" s="1">
        <v>0</v>
      </c>
      <c r="E446" s="7">
        <f aca="true" t="shared" si="164" ref="E446:E454">C446+D446</f>
        <v>629</v>
      </c>
      <c r="F446" s="5">
        <v>2.9</v>
      </c>
      <c r="G446" s="5">
        <v>6.98</v>
      </c>
      <c r="H446" s="5">
        <f aca="true" t="shared" si="165" ref="H446:H454">F446+G446</f>
        <v>9.88</v>
      </c>
      <c r="I446" s="28">
        <f aca="true" t="shared" si="166" ref="I446:I454">E446*H446*6</f>
        <v>37287.12</v>
      </c>
      <c r="J446" s="5">
        <f aca="true" t="shared" si="167" ref="J446:J454">F446*1.067*1.002363</f>
        <v>3.101611830899999</v>
      </c>
      <c r="K446" s="5">
        <f aca="true" t="shared" si="168" ref="K446:K454">G446*1.067*1.002363</f>
        <v>7.465258820579999</v>
      </c>
      <c r="L446" s="27">
        <f aca="true" t="shared" si="169" ref="L446:L454">J446+K446</f>
        <v>10.566870651479999</v>
      </c>
      <c r="M446" s="30">
        <f aca="true" t="shared" si="170" ref="M446:M454">L446*E446*6</f>
        <v>39879.36983868551</v>
      </c>
      <c r="N446" s="30">
        <f aca="true" t="shared" si="171" ref="N446:N454">I446+M446</f>
        <v>77166.48983868552</v>
      </c>
      <c r="O446" s="34">
        <v>61302.65</v>
      </c>
      <c r="P446" s="34"/>
      <c r="Q446" s="5">
        <f aca="true" t="shared" si="172" ref="Q446:Q454">N446-O446</f>
        <v>15863.839838685519</v>
      </c>
      <c r="R446" s="28">
        <v>16020.12</v>
      </c>
    </row>
    <row r="447" spans="1:18" ht="12.75">
      <c r="A447" s="1">
        <v>138</v>
      </c>
      <c r="B447" s="1" t="s">
        <v>154</v>
      </c>
      <c r="C447" s="1">
        <v>594.5</v>
      </c>
      <c r="D447" s="1">
        <v>0</v>
      </c>
      <c r="E447" s="7">
        <f t="shared" si="164"/>
        <v>594.5</v>
      </c>
      <c r="F447" s="5">
        <v>2.9</v>
      </c>
      <c r="G447" s="5">
        <v>5.96</v>
      </c>
      <c r="H447" s="5">
        <f t="shared" si="165"/>
        <v>8.86</v>
      </c>
      <c r="I447" s="28">
        <f t="shared" si="166"/>
        <v>31603.619999999995</v>
      </c>
      <c r="J447" s="5">
        <f t="shared" si="167"/>
        <v>3.101611830899999</v>
      </c>
      <c r="K447" s="5">
        <f t="shared" si="168"/>
        <v>6.374347073159999</v>
      </c>
      <c r="L447" s="27">
        <f t="shared" si="169"/>
        <v>9.475958904059999</v>
      </c>
      <c r="M447" s="30">
        <f t="shared" si="170"/>
        <v>33800.745410782016</v>
      </c>
      <c r="N447" s="30">
        <f t="shared" si="171"/>
        <v>65404.36541078201</v>
      </c>
      <c r="O447" s="34">
        <v>68226.28</v>
      </c>
      <c r="P447" s="34"/>
      <c r="Q447" s="5">
        <f t="shared" si="172"/>
        <v>-2821.9145892179877</v>
      </c>
      <c r="R447" s="28">
        <v>17390.16</v>
      </c>
    </row>
    <row r="448" spans="1:18" ht="12.75">
      <c r="A448" s="1">
        <v>153</v>
      </c>
      <c r="B448" s="1" t="s">
        <v>169</v>
      </c>
      <c r="C448" s="1">
        <v>596.9</v>
      </c>
      <c r="D448" s="1">
        <v>0</v>
      </c>
      <c r="E448" s="7">
        <f t="shared" si="164"/>
        <v>596.9</v>
      </c>
      <c r="F448" s="5">
        <v>2.9</v>
      </c>
      <c r="G448" s="5">
        <v>6.16</v>
      </c>
      <c r="H448" s="5">
        <f t="shared" si="165"/>
        <v>9.06</v>
      </c>
      <c r="I448" s="28">
        <f t="shared" si="166"/>
        <v>32447.483999999997</v>
      </c>
      <c r="J448" s="5">
        <f t="shared" si="167"/>
        <v>3.101611830899999</v>
      </c>
      <c r="K448" s="5">
        <f t="shared" si="168"/>
        <v>6.588251337359999</v>
      </c>
      <c r="L448" s="27">
        <f t="shared" si="169"/>
        <v>9.689863168259999</v>
      </c>
      <c r="M448" s="30">
        <f t="shared" si="170"/>
        <v>34703.27595080636</v>
      </c>
      <c r="N448" s="30">
        <f t="shared" si="171"/>
        <v>67150.75995080636</v>
      </c>
      <c r="O448" s="34">
        <v>39855.85</v>
      </c>
      <c r="P448" s="34"/>
      <c r="Q448" s="5">
        <f t="shared" si="172"/>
        <v>27294.90995080636</v>
      </c>
      <c r="R448" s="5">
        <f>Q448+P448</f>
        <v>27294.90995080636</v>
      </c>
    </row>
    <row r="449" spans="1:18" ht="12.75">
      <c r="A449" s="1">
        <v>154</v>
      </c>
      <c r="B449" s="1" t="s">
        <v>170</v>
      </c>
      <c r="C449" s="1">
        <v>388.4</v>
      </c>
      <c r="D449" s="1">
        <v>0</v>
      </c>
      <c r="E449" s="7">
        <f t="shared" si="164"/>
        <v>388.4</v>
      </c>
      <c r="F449" s="5">
        <v>2.9</v>
      </c>
      <c r="G449" s="5">
        <v>5.96</v>
      </c>
      <c r="H449" s="5">
        <f t="shared" si="165"/>
        <v>8.86</v>
      </c>
      <c r="I449" s="28">
        <f t="shared" si="166"/>
        <v>20647.343999999997</v>
      </c>
      <c r="J449" s="5">
        <f t="shared" si="167"/>
        <v>3.101611830899999</v>
      </c>
      <c r="K449" s="5">
        <f t="shared" si="168"/>
        <v>6.374347073159999</v>
      </c>
      <c r="L449" s="27">
        <f t="shared" si="169"/>
        <v>9.475958904059999</v>
      </c>
      <c r="M449" s="30">
        <f t="shared" si="170"/>
        <v>22082.77463002142</v>
      </c>
      <c r="N449" s="30">
        <f t="shared" si="171"/>
        <v>42730.11863002142</v>
      </c>
      <c r="O449" s="34">
        <v>56320.59</v>
      </c>
      <c r="P449" s="34"/>
      <c r="Q449" s="5">
        <f t="shared" si="172"/>
        <v>-13590.471369978579</v>
      </c>
      <c r="R449" s="28">
        <v>8575.87</v>
      </c>
    </row>
    <row r="450" spans="1:18" ht="12.75">
      <c r="A450" s="1">
        <v>236</v>
      </c>
      <c r="B450" s="1" t="s">
        <v>257</v>
      </c>
      <c r="C450" s="1">
        <v>790.4</v>
      </c>
      <c r="D450" s="1">
        <v>0</v>
      </c>
      <c r="E450" s="7">
        <f t="shared" si="164"/>
        <v>790.4</v>
      </c>
      <c r="F450" s="5">
        <v>2.9</v>
      </c>
      <c r="G450" s="5">
        <v>7.09</v>
      </c>
      <c r="H450" s="5">
        <f t="shared" si="165"/>
        <v>9.99</v>
      </c>
      <c r="I450" s="28">
        <f t="shared" si="166"/>
        <v>47376.576</v>
      </c>
      <c r="J450" s="5">
        <f t="shared" si="167"/>
        <v>3.101611830899999</v>
      </c>
      <c r="K450" s="5">
        <f t="shared" si="168"/>
        <v>7.582906165889998</v>
      </c>
      <c r="L450" s="27">
        <f t="shared" si="169"/>
        <v>10.684517996789998</v>
      </c>
      <c r="M450" s="30">
        <f t="shared" si="170"/>
        <v>50670.258147976885</v>
      </c>
      <c r="N450" s="30">
        <f t="shared" si="171"/>
        <v>98046.83414797689</v>
      </c>
      <c r="O450" s="34">
        <v>92369.68</v>
      </c>
      <c r="P450" s="34"/>
      <c r="Q450" s="5">
        <f t="shared" si="172"/>
        <v>5677.154147976893</v>
      </c>
      <c r="R450" s="28">
        <v>17452.03</v>
      </c>
    </row>
    <row r="451" spans="1:18" ht="12.75">
      <c r="A451" s="1">
        <v>241</v>
      </c>
      <c r="B451" s="1" t="s">
        <v>262</v>
      </c>
      <c r="C451" s="1">
        <v>473.2</v>
      </c>
      <c r="D451" s="1">
        <v>0</v>
      </c>
      <c r="E451" s="7">
        <f t="shared" si="164"/>
        <v>473.2</v>
      </c>
      <c r="F451" s="5">
        <v>2.9</v>
      </c>
      <c r="G451" s="5">
        <v>6.98</v>
      </c>
      <c r="H451" s="5">
        <f t="shared" si="165"/>
        <v>9.88</v>
      </c>
      <c r="I451" s="28">
        <f t="shared" si="166"/>
        <v>28051.296000000002</v>
      </c>
      <c r="J451" s="5">
        <f t="shared" si="167"/>
        <v>3.101611830899999</v>
      </c>
      <c r="K451" s="5">
        <f t="shared" si="168"/>
        <v>7.465258820579999</v>
      </c>
      <c r="L451" s="27">
        <f t="shared" si="169"/>
        <v>10.566870651479999</v>
      </c>
      <c r="M451" s="30">
        <f t="shared" si="170"/>
        <v>30001.45915368201</v>
      </c>
      <c r="N451" s="30">
        <f t="shared" si="171"/>
        <v>58052.75515368201</v>
      </c>
      <c r="O451" s="34">
        <v>142502.17</v>
      </c>
      <c r="P451" s="34"/>
      <c r="Q451" s="5">
        <f t="shared" si="172"/>
        <v>-84449.414846318</v>
      </c>
      <c r="R451" s="28">
        <v>10397.47</v>
      </c>
    </row>
    <row r="452" spans="1:18" ht="12.75">
      <c r="A452" s="1">
        <v>242</v>
      </c>
      <c r="B452" s="1" t="s">
        <v>263</v>
      </c>
      <c r="C452" s="1">
        <v>1093.4</v>
      </c>
      <c r="D452" s="1">
        <v>0</v>
      </c>
      <c r="E452" s="7">
        <f t="shared" si="164"/>
        <v>1093.4</v>
      </c>
      <c r="F452" s="5">
        <v>2.9</v>
      </c>
      <c r="G452" s="5">
        <v>7.85</v>
      </c>
      <c r="H452" s="5">
        <f t="shared" si="165"/>
        <v>10.75</v>
      </c>
      <c r="I452" s="28">
        <f t="shared" si="166"/>
        <v>70524.3</v>
      </c>
      <c r="J452" s="5">
        <f t="shared" si="167"/>
        <v>3.101611830899999</v>
      </c>
      <c r="K452" s="5">
        <f t="shared" si="168"/>
        <v>8.395742369849998</v>
      </c>
      <c r="L452" s="27">
        <f t="shared" si="169"/>
        <v>11.497354200749998</v>
      </c>
      <c r="M452" s="30">
        <f t="shared" si="170"/>
        <v>75427.2424986003</v>
      </c>
      <c r="N452" s="30">
        <f t="shared" si="171"/>
        <v>145951.54249860032</v>
      </c>
      <c r="O452" s="34">
        <v>240981.21</v>
      </c>
      <c r="P452" s="34"/>
      <c r="Q452" s="5">
        <f t="shared" si="172"/>
        <v>-95029.66750139967</v>
      </c>
      <c r="R452" s="28">
        <v>26274.07</v>
      </c>
    </row>
    <row r="453" spans="1:18" ht="12.75">
      <c r="A453" s="1">
        <v>244</v>
      </c>
      <c r="B453" s="1" t="s">
        <v>265</v>
      </c>
      <c r="C453" s="1">
        <v>946.5</v>
      </c>
      <c r="D453" s="1">
        <v>0</v>
      </c>
      <c r="E453" s="7">
        <f t="shared" si="164"/>
        <v>946.5</v>
      </c>
      <c r="F453" s="5">
        <v>2.9</v>
      </c>
      <c r="G453" s="5">
        <v>7.85</v>
      </c>
      <c r="H453" s="5">
        <f t="shared" si="165"/>
        <v>10.75</v>
      </c>
      <c r="I453" s="28">
        <f t="shared" si="166"/>
        <v>61049.25</v>
      </c>
      <c r="J453" s="5">
        <f t="shared" si="167"/>
        <v>3.101611830899999</v>
      </c>
      <c r="K453" s="5">
        <f t="shared" si="168"/>
        <v>8.395742369849998</v>
      </c>
      <c r="L453" s="27">
        <f t="shared" si="169"/>
        <v>11.497354200749998</v>
      </c>
      <c r="M453" s="30">
        <f t="shared" si="170"/>
        <v>65293.47450605923</v>
      </c>
      <c r="N453" s="30">
        <f t="shared" si="171"/>
        <v>126342.72450605922</v>
      </c>
      <c r="O453" s="34">
        <v>102479.24</v>
      </c>
      <c r="P453" s="34"/>
      <c r="Q453" s="5">
        <f t="shared" si="172"/>
        <v>23863.48450605922</v>
      </c>
      <c r="R453" s="28">
        <f>Q453+P453</f>
        <v>23863.48450605922</v>
      </c>
    </row>
    <row r="454" spans="1:18" ht="12.75">
      <c r="A454" s="1">
        <v>253</v>
      </c>
      <c r="B454" s="1" t="s">
        <v>274</v>
      </c>
      <c r="C454" s="1">
        <v>416.2</v>
      </c>
      <c r="D454" s="1">
        <v>0</v>
      </c>
      <c r="E454" s="7">
        <f t="shared" si="164"/>
        <v>416.2</v>
      </c>
      <c r="F454" s="5">
        <v>2.9</v>
      </c>
      <c r="G454" s="5">
        <v>6.98</v>
      </c>
      <c r="H454" s="5">
        <f t="shared" si="165"/>
        <v>9.88</v>
      </c>
      <c r="I454" s="28">
        <f t="shared" si="166"/>
        <v>24672.336000000003</v>
      </c>
      <c r="J454" s="5">
        <f t="shared" si="167"/>
        <v>3.101611830899999</v>
      </c>
      <c r="K454" s="5">
        <f t="shared" si="168"/>
        <v>7.465258820579999</v>
      </c>
      <c r="L454" s="27">
        <f t="shared" si="169"/>
        <v>10.566870651479999</v>
      </c>
      <c r="M454" s="30">
        <f t="shared" si="170"/>
        <v>26387.58939087585</v>
      </c>
      <c r="N454" s="30">
        <f t="shared" si="171"/>
        <v>51059.925390875855</v>
      </c>
      <c r="O454" s="34">
        <v>34672.62</v>
      </c>
      <c r="P454" s="34"/>
      <c r="Q454" s="5">
        <f t="shared" si="172"/>
        <v>16387.305390875852</v>
      </c>
      <c r="R454" s="5">
        <f>Q454+P454</f>
        <v>16387.305390875852</v>
      </c>
    </row>
  </sheetData>
  <sheetProtection/>
  <mergeCells count="11">
    <mergeCell ref="Z402:AH402"/>
    <mergeCell ref="Z403:AH403"/>
    <mergeCell ref="Z400:AG400"/>
    <mergeCell ref="AQ9:AR9"/>
    <mergeCell ref="Z397:AJ397"/>
    <mergeCell ref="Z394:AE394"/>
    <mergeCell ref="F6:H6"/>
    <mergeCell ref="J6:L6"/>
    <mergeCell ref="O1:R1"/>
    <mergeCell ref="O2:R2"/>
    <mergeCell ref="O3:R3"/>
  </mergeCells>
  <printOptions/>
  <pageMargins left="0.16" right="0.16" top="0.3937007874015748" bottom="0.3937007874015748" header="0.16" footer="0.196850393700787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2016-12-19T07:02:04Z</cp:lastPrinted>
  <dcterms:created xsi:type="dcterms:W3CDTF">1996-10-08T23:32:33Z</dcterms:created>
  <dcterms:modified xsi:type="dcterms:W3CDTF">2017-01-31T10:15:01Z</dcterms:modified>
  <cp:category/>
  <cp:version/>
  <cp:contentType/>
  <cp:contentStatus/>
</cp:coreProperties>
</file>