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2"/>
  </bookViews>
  <sheets>
    <sheet name="ПРУ" sheetId="1" r:id="rId1"/>
    <sheet name="работы по договорам" sheetId="2" r:id="rId2"/>
    <sheet name="отчет(план) на 2022" sheetId="3" r:id="rId3"/>
  </sheets>
  <definedNames>
    <definedName name="_xlnm._FilterDatabase" localSheetId="2" hidden="1">'отчет(план) на 2022'!$A$1:$AY$321</definedName>
  </definedNames>
  <calcPr fullCalcOnLoad="1"/>
</workbook>
</file>

<file path=xl/sharedStrings.xml><?xml version="1.0" encoding="utf-8"?>
<sst xmlns="http://schemas.openxmlformats.org/spreadsheetml/2006/main" count="4143" uniqueCount="1380">
  <si>
    <t>остаток 2022г</t>
  </si>
  <si>
    <t>долг по оплате за с/ж  на 01.01.2023</t>
  </si>
  <si>
    <t>по договорам</t>
  </si>
  <si>
    <t>Мира, 93 (1,2,3,4 под) 4,5 эт.</t>
  </si>
  <si>
    <t>Мира, 93 (1,2,3,4 под) 1,2,3 эт.</t>
  </si>
  <si>
    <t>Мира, 93 (1,2,3,4под)</t>
  </si>
  <si>
    <t>ремонт крыльца и входной группы</t>
  </si>
  <si>
    <t>ремонт цоколя</t>
  </si>
  <si>
    <t xml:space="preserve">Нахимова, 22   </t>
  </si>
  <si>
    <t>Нахимова, 22(2,3 под.)</t>
  </si>
  <si>
    <t>Нахимова, 24 (1,4 под.)</t>
  </si>
  <si>
    <t>Нахимова, 24 (4 под)</t>
  </si>
  <si>
    <t>замена металической двери</t>
  </si>
  <si>
    <t>освещение подвалов</t>
  </si>
  <si>
    <t>ремонт подъездных козырьков</t>
  </si>
  <si>
    <t>Некрасова, 83 кв.20,35,48</t>
  </si>
  <si>
    <t>Некрасова, 83 кв.98</t>
  </si>
  <si>
    <t>Некрасова, 85</t>
  </si>
  <si>
    <t>Некрасова, 85 (5 эт 1,2,3,4 под)</t>
  </si>
  <si>
    <t xml:space="preserve">Попова, 12 </t>
  </si>
  <si>
    <t>Попова, 12а</t>
  </si>
  <si>
    <t>Почтамтская, 33</t>
  </si>
  <si>
    <t>Пролетарская, 66</t>
  </si>
  <si>
    <t>Пролетарская, 69 (5 под.)</t>
  </si>
  <si>
    <t xml:space="preserve">Свердлова, 1 </t>
  </si>
  <si>
    <t>Серова, 13(10,32,62,7 под.)</t>
  </si>
  <si>
    <t>Серова, 13(7 под.)</t>
  </si>
  <si>
    <t>Советская, 121</t>
  </si>
  <si>
    <t>Советская, 125</t>
  </si>
  <si>
    <t>Советская, 96 (1-3под)</t>
  </si>
  <si>
    <t>Советская, 96 (Глинков)</t>
  </si>
  <si>
    <t>замена спускников на системе отопления</t>
  </si>
  <si>
    <t xml:space="preserve">Школьный, 1 </t>
  </si>
  <si>
    <t>Школьный, 1 (5 под)</t>
  </si>
  <si>
    <t>общая</t>
  </si>
  <si>
    <t>Карпинск, пер.Школьный, д.1</t>
  </si>
  <si>
    <t>Карпинск, прое.Декабристов, д.10</t>
  </si>
  <si>
    <t>Карпинск, прое.Нахимова, д.19, к.а</t>
  </si>
  <si>
    <t>Карпинск, прое.Нахимова, д.20</t>
  </si>
  <si>
    <t>Карпинск, прое.Нахимова, д.22</t>
  </si>
  <si>
    <t>Карпинск, прое.Нахимова, д.24</t>
  </si>
  <si>
    <t>Карпинск, прое.Нахимова, д.26</t>
  </si>
  <si>
    <t>Карпинск, прое.Нахимова, д.28</t>
  </si>
  <si>
    <t>Карпинск, ул.8 Марта, д.32</t>
  </si>
  <si>
    <t>Карпинск, ул.8 Марта, д.40</t>
  </si>
  <si>
    <t>Карпинск, ул.8 Марта, д.42</t>
  </si>
  <si>
    <t>Карпинск, ул.8 Марта, д.43</t>
  </si>
  <si>
    <t>Карпинск, ул.8 Марта, д.44</t>
  </si>
  <si>
    <t>Карпинск, ул.8 Марта, д.46</t>
  </si>
  <si>
    <t>Карпинск, ул.8 Марта, д.48</t>
  </si>
  <si>
    <t>Карпинск, ул.8 Марта, д.50</t>
  </si>
  <si>
    <t>Карпинск, ул.8 Марта, д.52</t>
  </si>
  <si>
    <t>Карпинск, ул.8 Марта, д.54</t>
  </si>
  <si>
    <t>Карпинск, ул.8 Марта, д.56</t>
  </si>
  <si>
    <t>Карпинск, ул.8 Марта, д.58</t>
  </si>
  <si>
    <t>Карпинск, ул.8 Марта, д.60</t>
  </si>
  <si>
    <t>Карпинск, ул.8 Марта, д.66</t>
  </si>
  <si>
    <t>Карпинск, ул.8 Марта, д.68</t>
  </si>
  <si>
    <t>Карпинск, ул.8 Марта, д.70</t>
  </si>
  <si>
    <t>Карпинск, ул.8 Марта, д.74</t>
  </si>
  <si>
    <t>Карпинск, ул.8 Марта, д.79</t>
  </si>
  <si>
    <t>Карпинск, ул.9 Мая, д.1</t>
  </si>
  <si>
    <t>Карпинск, ул.9 Мая, д.3</t>
  </si>
  <si>
    <t>Карпинск, ул.9 Мая, д.5</t>
  </si>
  <si>
    <t>Карпинск, ул.Белинского, д.121</t>
  </si>
  <si>
    <t>Карпинск, ул.Белинского, д.126</t>
  </si>
  <si>
    <t>Карпинск, ул.Горняков, д.39</t>
  </si>
  <si>
    <t>Карпинск, ул.Горняков, д.40</t>
  </si>
  <si>
    <t>Карпинск, ул.Карпинского, д.11</t>
  </si>
  <si>
    <t>Карпинск, ул.Карпинского, д.13</t>
  </si>
  <si>
    <t>Карпинск, ул.Карпинского, д.15</t>
  </si>
  <si>
    <t>Карпинск, ул.Карпинского, д.17</t>
  </si>
  <si>
    <t>Карпинск, ул.Карпинского, д.18</t>
  </si>
  <si>
    <t>Карпинск, ул.Карпинского, д.19</t>
  </si>
  <si>
    <t>Карпинск, ул.Карпинского, д.20</t>
  </si>
  <si>
    <t>Карпинск, ул.Карпинского, д.20, к.а</t>
  </si>
  <si>
    <t>Карпинск, ул.Карпинского, д.24</t>
  </si>
  <si>
    <t>Карпинск, ул.Карпинского, д.26</t>
  </si>
  <si>
    <t>Карпинск, ул.Карпинского, д.28</t>
  </si>
  <si>
    <t>Карпинск, ул.Карпинского, д.30</t>
  </si>
  <si>
    <t>Карпинск, ул.Ким, д.17</t>
  </si>
  <si>
    <t>Карпинск, ул.Клубная, д.4</t>
  </si>
  <si>
    <t>Карпинск, ул.Колхозная, д.43</t>
  </si>
  <si>
    <t>Карпинск, ул.Колхозная, д.51</t>
  </si>
  <si>
    <t>Карпинск, ул.Колхозная, д.53</t>
  </si>
  <si>
    <t>Карпинск, ул.Коммунаров, д.47</t>
  </si>
  <si>
    <t>Карпинск, ул.Коммунаров, д.49</t>
  </si>
  <si>
    <t>Карпинск, ул.Коммунаров, д.5</t>
  </si>
  <si>
    <t>Карпинск, ул.Коммунаров, д.50</t>
  </si>
  <si>
    <t>Карпинск, ул.Коммунаров, д.51</t>
  </si>
  <si>
    <t>Карпинск, ул.Коммунаров, д.53, к.а</t>
  </si>
  <si>
    <t>Карпинск, ул.Куйбышева, д.32</t>
  </si>
  <si>
    <t>Карпинск, ул.Куйбышева, д.34</t>
  </si>
  <si>
    <t>Карпинск, ул.Куйбышева, д.36</t>
  </si>
  <si>
    <t>Карпинск, ул.Куйбышева, д.38</t>
  </si>
  <si>
    <t>Карпинск, ул.Куйбышева, д.40</t>
  </si>
  <si>
    <t>Карпинск, ул.Куйбышева, д.42</t>
  </si>
  <si>
    <t>Карпинск, ул.Куйбышева, д.52</t>
  </si>
  <si>
    <t>Карпинск, ул.Ленина, д.100</t>
  </si>
  <si>
    <t>Карпинск, ул.Ленина, д.100, к.а</t>
  </si>
  <si>
    <t>Карпинск, ул.Ленина, д.103</t>
  </si>
  <si>
    <t>Карпинск, ул.Ленина, д.105</t>
  </si>
  <si>
    <t>Карпинск, ул.Ленина, д.107</t>
  </si>
  <si>
    <t>Карпинск, ул.Ленина, д.109</t>
  </si>
  <si>
    <t>Карпинск, ул.Ленина, д.110</t>
  </si>
  <si>
    <t>Карпинск, ул.Ленина, д.111</t>
  </si>
  <si>
    <t>Карпинск, ул.Ленина, д.113</t>
  </si>
  <si>
    <t>Карпинск, ул.Ленина, д.114</t>
  </si>
  <si>
    <t>Карпинск, ул.Ленина, д.115</t>
  </si>
  <si>
    <t>Карпинск, ул.Ленина, д.117</t>
  </si>
  <si>
    <t>Карпинск, ул.Ленина, д.118</t>
  </si>
  <si>
    <t>Карпинск, ул.Ленина, д.119</t>
  </si>
  <si>
    <t>Карпинск, ул.Ленина, д.120</t>
  </si>
  <si>
    <t>Карпинск, ул.Ленина, д.121</t>
  </si>
  <si>
    <t>Карпинск, ул.Ленина, д.122</t>
  </si>
  <si>
    <t>Карпинск, ул.Ленина, д.123</t>
  </si>
  <si>
    <t>Карпинск, ул.Ленина, д.124</t>
  </si>
  <si>
    <t>Карпинск, ул.Ленина, д.46</t>
  </si>
  <si>
    <t>Карпинск, ул.Ленина, д.59</t>
  </si>
  <si>
    <t>Карпинск, ул.Ленина, д.76</t>
  </si>
  <si>
    <t>Карпинск, ул.Ленина, д.80</t>
  </si>
  <si>
    <t>Карпинск, ул.Ленина, д.82</t>
  </si>
  <si>
    <t>Карпинск, ул.Ленина, д.82, к.а</t>
  </si>
  <si>
    <t>Карпинск, ул.Ленина, д.84</t>
  </si>
  <si>
    <t>Карпинск, ул.Ленина, д.86</t>
  </si>
  <si>
    <t>Карпинск, ул.Ленина, д.89</t>
  </si>
  <si>
    <t>Карпинск, ул.Ленина, д.91</t>
  </si>
  <si>
    <t>Карпинск, ул.Ленина, д.93</t>
  </si>
  <si>
    <t>Карпинск, ул.Ленина, д.95</t>
  </si>
  <si>
    <t>Карпинск, ул.Ленина, д.97</t>
  </si>
  <si>
    <t>Карпинск, ул.Ленина, д.98</t>
  </si>
  <si>
    <t>Карпинск, ул.Ленина, д.99</t>
  </si>
  <si>
    <t>Карпинск, ул.Лермонтова, д.1</t>
  </si>
  <si>
    <t>Карпинск, ул.Лермонтова, д.10</t>
  </si>
  <si>
    <t>Карпинск, ул.Лермонтова, д.11</t>
  </si>
  <si>
    <t>Карпинск, ул.Лермонтова, д.12</t>
  </si>
  <si>
    <t>Карпинск, ул.Лермонтова, д.13, к.а</t>
  </si>
  <si>
    <t>Карпинск, ул.Лермонтова, д.14</t>
  </si>
  <si>
    <t>Карпинск, ул.Лермонтова, д.17</t>
  </si>
  <si>
    <t>Карпинск, ул.Лермонтова, д.3</t>
  </si>
  <si>
    <t>Карпинск, ул.Лермонтова, д.5</t>
  </si>
  <si>
    <t>Карпинск, ул.Лермонтова, д.7</t>
  </si>
  <si>
    <t>Карпинск, ул.Лермонтова, д.8</t>
  </si>
  <si>
    <t>Карпинск, ул.Лермонтова, д.9</t>
  </si>
  <si>
    <t>Карпинск, ул.Лесопильная, д.12</t>
  </si>
  <si>
    <t>Карпинск, ул.Лесопильная, д.137</t>
  </si>
  <si>
    <t>Карпинск, ул.Лесопильная, д.139</t>
  </si>
  <si>
    <t>Карпинск, ул.Лесопильная, д.18</t>
  </si>
  <si>
    <t>Карпинск, ул.Лесопильная, д.44</t>
  </si>
  <si>
    <t>Карпинск, ул.Лесопильная, д.61</t>
  </si>
  <si>
    <t>Карпинск, ул.Лесопильная, д.63</t>
  </si>
  <si>
    <t>Карпинск, ул.Лесопильная, д.67</t>
  </si>
  <si>
    <t>Карпинск, ул.Лесопильная, д.69</t>
  </si>
  <si>
    <t>Карпинск, ул.Лесопильная, д.71</t>
  </si>
  <si>
    <t>Карпинск, ул.Луначарского, д.112</t>
  </si>
  <si>
    <t>Карпинск, ул.Луначарского, д.114</t>
  </si>
  <si>
    <t>Карпинск, ул.Луначарского, д.123</t>
  </si>
  <si>
    <t>Карпинск, ул.Луначарского, д.124</t>
  </si>
  <si>
    <t>Карпинск, ул.Луначарского, д.126</t>
  </si>
  <si>
    <t>Карпинск, ул.Луначарского, д.128</t>
  </si>
  <si>
    <t>Карпинск, ул.Луначарского, д.128, к.а</t>
  </si>
  <si>
    <t>Карпинск, ул.Луначарского, д.130</t>
  </si>
  <si>
    <t>Карпинск, ул.Луначарского, д.32</t>
  </si>
  <si>
    <t>Карпинск, ул.Луначарского, д.34</t>
  </si>
  <si>
    <t>Карпинск, ул.Луначарского, д.58</t>
  </si>
  <si>
    <t>Карпинск, ул.Луначарского, д.59</t>
  </si>
  <si>
    <t>Карпинск, ул.Луначарского, д.60</t>
  </si>
  <si>
    <t>Карпинск, ул.Луначарского, д.61</t>
  </si>
  <si>
    <t>Карпинск, ул.Луначарского, д.63</t>
  </si>
  <si>
    <t>Карпинск, ул.Луначарского, д.65</t>
  </si>
  <si>
    <t>Карпинск, ул.Луначарского, д.65, к.а</t>
  </si>
  <si>
    <t>Карпинск, ул.Луначарского, д.72</t>
  </si>
  <si>
    <t>Карпинск, ул.Луначарского, д.74</t>
  </si>
  <si>
    <t>Карпинск, ул.Луначарского, д.74, к.а</t>
  </si>
  <si>
    <t>Карпинск, ул.Луначарского, д.77</t>
  </si>
  <si>
    <t>Карпинск, ул.Луначарского, д.78</t>
  </si>
  <si>
    <t>Карпинск, ул.Луначарского, д.78, к.а</t>
  </si>
  <si>
    <t>Карпинск, ул.Луначарского, д.79</t>
  </si>
  <si>
    <t>Карпинск, ул.Луначарского, д.79, к.а</t>
  </si>
  <si>
    <t>Карпинск, ул.Луначарского, д.80</t>
  </si>
  <si>
    <t>Карпинск, ул.Луначарского, д.81</t>
  </si>
  <si>
    <t>Карпинск, ул.Луначарского, д.82</t>
  </si>
  <si>
    <t>Карпинск, ул.Луначарского, д.83</t>
  </si>
  <si>
    <t>Карпинск, ул.Луначарского, д.84</t>
  </si>
  <si>
    <t>Карпинск, ул.Луначарского, д.86</t>
  </si>
  <si>
    <t>Карпинск, ул.Луначарского, д.90, к.а</t>
  </si>
  <si>
    <t>Карпинск, ул.Луначарского, д.92</t>
  </si>
  <si>
    <t>Карпинск, ул.Луначарского, д.94</t>
  </si>
  <si>
    <t>Карпинск, ул.Максима Горького, д.12</t>
  </si>
  <si>
    <t>Карпинск, ул.Максима Горького, д.13</t>
  </si>
  <si>
    <t>Карпинск, ул.Максима Горького, д.2</t>
  </si>
  <si>
    <t>Карпинск, ул.Максима Горького, д.2, к.а</t>
  </si>
  <si>
    <t>Карпинск, ул.Максима Горького, д.29</t>
  </si>
  <si>
    <t>Карпинск, ул.Максима Горького, д.4</t>
  </si>
  <si>
    <t>Карпинск, ул.Максима Горького, д.4, к.а</t>
  </si>
  <si>
    <t>Карпинск, ул.Максима Горького, д.6</t>
  </si>
  <si>
    <t>Карпинск, ул.Максима Горького, д.6, к.а</t>
  </si>
  <si>
    <t>Карпинск, ул.Максима Горького, д.8</t>
  </si>
  <si>
    <t>Карпинск, ул.Малышева, д.16</t>
  </si>
  <si>
    <t>Карпинск, ул.Малышева, д.18</t>
  </si>
  <si>
    <t>Карпинск, ул.Малышева, д.2, к.б</t>
  </si>
  <si>
    <t>Карпинск, ул.Малышева, д.20</t>
  </si>
  <si>
    <t>Карпинск, ул.Малышева, д.45</t>
  </si>
  <si>
    <t>Карпинск, ул.Малышева, д.47</t>
  </si>
  <si>
    <t>Карпинск, ул.Малышева, д.49</t>
  </si>
  <si>
    <t>Карпинск, ул.Мира, д.14</t>
  </si>
  <si>
    <t>Карпинск, ул.Мира, д.34</t>
  </si>
  <si>
    <t>Карпинск, ул.Мира, д.36</t>
  </si>
  <si>
    <t>Карпинск, ул.Мира, д.36, к.а</t>
  </si>
  <si>
    <t>Карпинск, ул.Мира, д.38</t>
  </si>
  <si>
    <t>Карпинск, ул.Мира, д.38, к.а</t>
  </si>
  <si>
    <t>Карпинск, ул.Мира, д.4</t>
  </si>
  <si>
    <t>Карпинск, ул.Мира, д.40</t>
  </si>
  <si>
    <t>Карпинск, ул.Мира, д.42</t>
  </si>
  <si>
    <t>Карпинск, ул.Мира, д.44</t>
  </si>
  <si>
    <t>Карпинск, ул.Мира, д.45</t>
  </si>
  <si>
    <t>Карпинск, ул.Мира, д.45, к.а</t>
  </si>
  <si>
    <t>Карпинск, ул.Мира, д.48</t>
  </si>
  <si>
    <t>Карпинск, ул.Мира, д.49</t>
  </si>
  <si>
    <t>Карпинск, ул.Мира, д.50</t>
  </si>
  <si>
    <t>Карпинск, ул.Мира, д.50, к.а</t>
  </si>
  <si>
    <t>Карпинск, ул.Мира, д.51</t>
  </si>
  <si>
    <t>Карпинск, ул.Мира, д.52</t>
  </si>
  <si>
    <t>Карпинск, ул.Мира, д.53</t>
  </si>
  <si>
    <t>Карпинск, ул.Мира, д.54</t>
  </si>
  <si>
    <t>Карпинск, ул.Мира, д.54, к.а</t>
  </si>
  <si>
    <t>Карпинск, ул.Мира, д.55</t>
  </si>
  <si>
    <t>Карпинск, ул.Мира, д.56</t>
  </si>
  <si>
    <t>Карпинск, ул.Мира, д.57</t>
  </si>
  <si>
    <t>Карпинск, ул.Мира, д.59</t>
  </si>
  <si>
    <t>Карпинск, ул.Мира, д.6</t>
  </si>
  <si>
    <t>Карпинск, ул.Мира, д.62</t>
  </si>
  <si>
    <t>Карпинск, ул.Мира, д.64</t>
  </si>
  <si>
    <t>Карпинск, ул.Мира, д.65</t>
  </si>
  <si>
    <t>Карпинск, ул.Мира, д.65, к.а</t>
  </si>
  <si>
    <t>Карпинск, ул.Мира, д.66</t>
  </si>
  <si>
    <t>Карпинск, ул.Мира, д.67</t>
  </si>
  <si>
    <t>Карпинск, ул.Мира, д.68</t>
  </si>
  <si>
    <t>Карпинск, ул.Мира, д.70</t>
  </si>
  <si>
    <t>Карпинск, ул.Мира, д.72</t>
  </si>
  <si>
    <t>Карпинск, ул.Мира, д.74</t>
  </si>
  <si>
    <t>Карпинск, ул.Мира, д.76</t>
  </si>
  <si>
    <t>Карпинск, ул.Мира, д.8</t>
  </si>
  <si>
    <t>Карпинск, ул.Мира, д.80</t>
  </si>
  <si>
    <t>Карпинск, ул.Мира, д.81</t>
  </si>
  <si>
    <t>Карпинск, ул.Мира, д.83</t>
  </si>
  <si>
    <t>Карпинск, ул.Мира, д.84</t>
  </si>
  <si>
    <t>Карпинск, ул.Мира, д.85</t>
  </si>
  <si>
    <t>Карпинск, ул.Мира, д.87</t>
  </si>
  <si>
    <t>Карпинск, ул.Мира, д.89</t>
  </si>
  <si>
    <t>Карпинск, ул.Мира, д.91</t>
  </si>
  <si>
    <t>Карпинск, ул.Мира, д.93</t>
  </si>
  <si>
    <t>Карпинск, ул.Мира, д.97</t>
  </si>
  <si>
    <t>Карпинск, ул.Некрасова, д.41</t>
  </si>
  <si>
    <t>Карпинск, ул.Некрасова, д.81</t>
  </si>
  <si>
    <t>Карпинск, ул.Некрасова, д.85</t>
  </si>
  <si>
    <t>Карпинск, ул.Первомайская, д.42</t>
  </si>
  <si>
    <t>Карпинск, ул.Первомайская, д.61</t>
  </si>
  <si>
    <t>Карпинск, ул.Попова, д.12</t>
  </si>
  <si>
    <t>Карпинск, ул.Попова, д.12, к.а</t>
  </si>
  <si>
    <t>Карпинск, ул.Попова, д.4</t>
  </si>
  <si>
    <t>Карпинск, ул.Попова, д.6</t>
  </si>
  <si>
    <t>Карпинск, ул.Попова, д.6, к.а</t>
  </si>
  <si>
    <t>Карпинск, ул.Попова, д.8</t>
  </si>
  <si>
    <t>Карпинск, ул.Почтамтская, д.23</t>
  </si>
  <si>
    <t>Карпинск, ул.Почтамтская, д.25</t>
  </si>
  <si>
    <t>Карпинск, ул.Почтамтская, д.31</t>
  </si>
  <si>
    <t>Карпинск, ул.Почтамтская, д.33</t>
  </si>
  <si>
    <t>Карпинск, ул.Почтамтская, д.35</t>
  </si>
  <si>
    <t>Карпинск, ул.Пролетарская, д.66</t>
  </si>
  <si>
    <t>Карпинск, ул.Пролетарская, д.69</t>
  </si>
  <si>
    <t>Карпинск, ул.Пролетарская, д.71</t>
  </si>
  <si>
    <t>Карпинск, ул.Пушкина, д.7</t>
  </si>
  <si>
    <t>Карпинск, ул.Свердлова, д.1</t>
  </si>
  <si>
    <t>Карпинск, ул.Свердлова, д.14</t>
  </si>
  <si>
    <t>Карпинск, ул.Свердлова, д.3</t>
  </si>
  <si>
    <t>Карпинск, ул.Свердлова, д.4</t>
  </si>
  <si>
    <t>Карпинск, ул.Свердлова, д.6</t>
  </si>
  <si>
    <t>Карпинск, ул.Свердлова, д.6, к.а</t>
  </si>
  <si>
    <t>Карпинск, ул.Свердлова, д.7</t>
  </si>
  <si>
    <t>Карпинск, ул.Свердлова, д.8</t>
  </si>
  <si>
    <t>Карпинск, ул.Свободы, д.104</t>
  </si>
  <si>
    <t>Карпинск, ул.Свободы, д.139</t>
  </si>
  <si>
    <t>Карпинск, ул.Свободы, д.141</t>
  </si>
  <si>
    <t>Карпинск, ул.Свободы, д.40</t>
  </si>
  <si>
    <t>Карпинск, ул.Серова, д.13</t>
  </si>
  <si>
    <t>Карпинск, ул.Серова, д.15</t>
  </si>
  <si>
    <t>Карпинск, ул.Серова, д.17</t>
  </si>
  <si>
    <t>Карпинск, ул.Серова, д.19</t>
  </si>
  <si>
    <t>Карпинск, ул.Серова, д.23</t>
  </si>
  <si>
    <t>Карпинск, ул.Советская, д.115</t>
  </si>
  <si>
    <t>Карпинск, ул.Советская, д.117</t>
  </si>
  <si>
    <t>Карпинск, ул.Советская, д.119</t>
  </si>
  <si>
    <t>Карпинск, ул.Советская, д.121</t>
  </si>
  <si>
    <t>Карпинск, ул.Советская, д.123</t>
  </si>
  <si>
    <t>Карпинск, ул.Советская, д.125</t>
  </si>
  <si>
    <t>Карпинск, ул.Советская, д.127</t>
  </si>
  <si>
    <t>Карпинск, ул.Советская, д.96</t>
  </si>
  <si>
    <t>Карпинск, ул.Трудовая, д.40</t>
  </si>
  <si>
    <t>Карпинск, ул.Угольщиков, д.75</t>
  </si>
  <si>
    <t>Карпинск, ул.Угольщиков, д.77</t>
  </si>
  <si>
    <t>Карпинск, ул.Угольщиков, д.79</t>
  </si>
  <si>
    <t>Карпинск, ул.Угольщиков, д.81</t>
  </si>
  <si>
    <t>Карпинск, ул.Уральская, д.40</t>
  </si>
  <si>
    <t>Карпинск, ул.Федорова, д.1</t>
  </si>
  <si>
    <t>Карпинск, ул.Федорова, д.3</t>
  </si>
  <si>
    <t>Карпинск, ул.Чайковского, д.147</t>
  </si>
  <si>
    <t>Карпинск, ул.Чайковского, д.44, к.а</t>
  </si>
  <si>
    <t>Карпинск, ул.Чайковского, д.46</t>
  </si>
  <si>
    <t>Карпинск, ул.Чайковского, д.48-3,4</t>
  </si>
  <si>
    <t>Карпинск, ул.Челюскинцев, д.40</t>
  </si>
  <si>
    <t>Карпинск, ул.Чернышевского, д.40</t>
  </si>
  <si>
    <t>Карпинск, пер.Школьный, д.2</t>
  </si>
  <si>
    <t>Карпинск, пер.Школьный, д.4</t>
  </si>
  <si>
    <t>Карпинск, пер.Школьный, д.6</t>
  </si>
  <si>
    <t>Карпинск, ул.Лесопильная, д.65</t>
  </si>
  <si>
    <t>Карпинск, ул.Луначарского, д.102</t>
  </si>
  <si>
    <t>Карпинск, ул.Луначарского, д.106</t>
  </si>
  <si>
    <t>Карпинск, ул.Луначарского, д.89</t>
  </si>
  <si>
    <t>Карпинск, ул.Луначарского, д.91</t>
  </si>
  <si>
    <t>Карпинск, ул.Максима Горького, д.3</t>
  </si>
  <si>
    <t>Карпинск, ул.Максима Горького, д.5</t>
  </si>
  <si>
    <t>Карпинск, ул.Южная 2-ая, д.1, к.а</t>
  </si>
  <si>
    <t>№</t>
  </si>
  <si>
    <t>п/п</t>
  </si>
  <si>
    <t>тариф</t>
  </si>
  <si>
    <t>Железнодорожный,  д.9</t>
  </si>
  <si>
    <t>жилые</t>
  </si>
  <si>
    <t>нежилые</t>
  </si>
  <si>
    <t>адрес</t>
  </si>
  <si>
    <t>итого:</t>
  </si>
  <si>
    <t>март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</si>
  <si>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</si>
  <si>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</si>
  <si>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</si>
  <si>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</si>
  <si>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</si>
  <si>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</si>
  <si>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</si>
  <si>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</si>
  <si>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Карпинск, ул.Мира, д.30</t>
  </si>
  <si>
    <t>Карпинск, ул.Советская, д.113/2</t>
  </si>
  <si>
    <t>Карпинск, ул.Советская, д.113/3</t>
  </si>
  <si>
    <t>ЖЭУ</t>
  </si>
  <si>
    <t>ЖКО</t>
  </si>
  <si>
    <t>Карпинск, ул.Максима Горького, д.14а</t>
  </si>
  <si>
    <t>Карпинск, ул.Советская, д.113/1</t>
  </si>
  <si>
    <t>Годовой план</t>
  </si>
  <si>
    <t>с корректир.</t>
  </si>
  <si>
    <t>долга</t>
  </si>
  <si>
    <t>январь</t>
  </si>
  <si>
    <t>февраль</t>
  </si>
  <si>
    <t>апрель</t>
  </si>
  <si>
    <t>за год</t>
  </si>
  <si>
    <t>Карпинск, ул.Ленина, д.88а</t>
  </si>
  <si>
    <t>Карпинск, ул.Почтамтская, д.4</t>
  </si>
  <si>
    <t>план/месяц</t>
  </si>
  <si>
    <t>План на 1 полугодие</t>
  </si>
  <si>
    <t>План на 2 полугодие</t>
  </si>
  <si>
    <t>отчет</t>
  </si>
  <si>
    <t>Своими силами</t>
  </si>
  <si>
    <t>без управления, ЖБО,ОПУ, газ, вентканалы,влаж. уборка</t>
  </si>
  <si>
    <t>Карпинск, ул.Мира, д.47</t>
  </si>
  <si>
    <t>площадь</t>
  </si>
  <si>
    <t>выполнено ВСЕГО</t>
  </si>
  <si>
    <t>Карпинск, ул.8 Марта, д.36</t>
  </si>
  <si>
    <t>возврат</t>
  </si>
  <si>
    <t>Адресный список домов с ПРУ</t>
  </si>
  <si>
    <t>суммы разнесены в отчете за 2018г.</t>
  </si>
  <si>
    <t>№п/п</t>
  </si>
  <si>
    <t>Адрес</t>
  </si>
  <si>
    <t>этажн.</t>
  </si>
  <si>
    <t>S подвала</t>
  </si>
  <si>
    <t>возврат за сод ПРУ</t>
  </si>
  <si>
    <t>ТБО</t>
  </si>
  <si>
    <t>сумма</t>
  </si>
  <si>
    <t>ОПУ</t>
  </si>
  <si>
    <t>упр</t>
  </si>
  <si>
    <t>газ</t>
  </si>
  <si>
    <t>вент.</t>
  </si>
  <si>
    <t>2015-2017</t>
  </si>
  <si>
    <t>3 года</t>
  </si>
  <si>
    <t>обсл.</t>
  </si>
  <si>
    <t>на с/ж</t>
  </si>
  <si>
    <t>всего</t>
  </si>
  <si>
    <t>и т/р</t>
  </si>
  <si>
    <t>в отчете 2018</t>
  </si>
  <si>
    <t>пер. Школьный,1</t>
  </si>
  <si>
    <t>5 э</t>
  </si>
  <si>
    <t>ул. 8 Марта,68</t>
  </si>
  <si>
    <t>ул. Ленина,110</t>
  </si>
  <si>
    <t xml:space="preserve">ул. Ленина,114 </t>
  </si>
  <si>
    <t xml:space="preserve">ул. Лермонтова,17 </t>
  </si>
  <si>
    <t xml:space="preserve">ул. Лесопильная,69 </t>
  </si>
  <si>
    <t>ул. Луначарского,114</t>
  </si>
  <si>
    <t>ул. Луначарского,128</t>
  </si>
  <si>
    <t xml:space="preserve">ул. Луначарского,130 </t>
  </si>
  <si>
    <t>ул. Мира,84</t>
  </si>
  <si>
    <t>ул. Мира,4</t>
  </si>
  <si>
    <t>ул. Мира,6</t>
  </si>
  <si>
    <t xml:space="preserve">ул. Некрасова,41 </t>
  </si>
  <si>
    <t xml:space="preserve">ул. Некрасова,85 </t>
  </si>
  <si>
    <t>ул. Свободы,139</t>
  </si>
  <si>
    <t>3 э</t>
  </si>
  <si>
    <t>ул. Серова,13</t>
  </si>
  <si>
    <t>ул. Трудовая,40</t>
  </si>
  <si>
    <t>ул. Первомайская, 61</t>
  </si>
  <si>
    <t xml:space="preserve">ул. Пролетарская, 69 </t>
  </si>
  <si>
    <t>ВСЕГО:</t>
  </si>
  <si>
    <t>Чепчугова 24.12.18.</t>
  </si>
  <si>
    <t>разнесенов отчете 2018</t>
  </si>
  <si>
    <t>01.12.17-30.11.18.</t>
  </si>
  <si>
    <t>влаж.</t>
  </si>
  <si>
    <t>уборка</t>
  </si>
  <si>
    <t>7мес.+5мес.</t>
  </si>
  <si>
    <t>12мес.</t>
  </si>
  <si>
    <t>5 мес</t>
  </si>
  <si>
    <t>в отчете 2019</t>
  </si>
  <si>
    <t>1,78/3</t>
  </si>
  <si>
    <t>3,17/3,30</t>
  </si>
  <si>
    <t>0,13/0,46</t>
  </si>
  <si>
    <t>0,71/0,74</t>
  </si>
  <si>
    <t>суммы разнесены в отчете 2019г.</t>
  </si>
  <si>
    <t>Чепчугова 18.11.19.</t>
  </si>
  <si>
    <t>разнесено в отчете 2019</t>
  </si>
  <si>
    <t>суммы разнесены в отчете 2020г.</t>
  </si>
  <si>
    <t>01.12.18-31.10.2019.</t>
  </si>
  <si>
    <t>клининг</t>
  </si>
  <si>
    <t>опу, упр,газ,</t>
  </si>
  <si>
    <t>вент,клининг</t>
  </si>
  <si>
    <t>11 мес</t>
  </si>
  <si>
    <t>1,24/1,29</t>
  </si>
  <si>
    <t>в отчете 2020</t>
  </si>
  <si>
    <t>3,30/3,43</t>
  </si>
  <si>
    <t>0,74/0,78</t>
  </si>
  <si>
    <t>Чепчугова 02.12.2020</t>
  </si>
  <si>
    <t>разнесено в отчете 2020</t>
  </si>
  <si>
    <t>клининг(доп.работы)</t>
  </si>
  <si>
    <t>ПЛАН (ОТЧЕТ)2022год</t>
  </si>
  <si>
    <t>Корректировка за содержание газовых сетей за 2022гг</t>
  </si>
  <si>
    <t>1 полугодие 2022год</t>
  </si>
  <si>
    <t>2 полугодие 2022год</t>
  </si>
  <si>
    <t>долг 2021</t>
  </si>
  <si>
    <t>(-)</t>
  </si>
  <si>
    <t>12 мес</t>
  </si>
  <si>
    <t>Чепчугова 12.01.2022</t>
  </si>
  <si>
    <t>в отчете 2021</t>
  </si>
  <si>
    <t>01.12.20-30.11.21г</t>
  </si>
  <si>
    <t>Карпинск, ул.Лесопильная, д.59</t>
  </si>
  <si>
    <t>выполнено за 2022год</t>
  </si>
  <si>
    <t>Выполнено ЖКО+ЖЭУ</t>
  </si>
  <si>
    <t>налог</t>
  </si>
  <si>
    <t>на УСН</t>
  </si>
  <si>
    <t>снять в отчете 2022</t>
  </si>
  <si>
    <t>с перерасчетом</t>
  </si>
  <si>
    <t>налога за 2021г.</t>
  </si>
  <si>
    <t>в отчете 2022</t>
  </si>
  <si>
    <t xml:space="preserve">на 2022г. </t>
  </si>
  <si>
    <t>возврат за сод ПРУ 2022г.</t>
  </si>
  <si>
    <t>( без налога на УСН)</t>
  </si>
  <si>
    <t>ОДН электроэнергия (корректировка за 2021г)</t>
  </si>
  <si>
    <r>
      <t xml:space="preserve">Карпинск, ул.Ленина, д.101 </t>
    </r>
    <r>
      <rPr>
        <sz val="8"/>
        <color indexed="10"/>
        <rFont val="Arial"/>
        <family val="2"/>
      </rPr>
      <t>с 01.02.2022 изм т.</t>
    </r>
  </si>
  <si>
    <t>Карпинск, ул.Лермонтова, д.2 (искл. с 01.04.)</t>
  </si>
  <si>
    <t>Карпинск, ул.Лесопильная, д.16 (искл. с 01.05.)</t>
  </si>
  <si>
    <t>Карпинск, прое.Нахимова, д.15 (искл. с 01.05.)</t>
  </si>
  <si>
    <t>Карпинск, ул.Попова, д.14 с 01.08.2022 искл.</t>
  </si>
  <si>
    <t>Карпинск, прое.Нахимова, д.17 (искл. С 01.07.)</t>
  </si>
  <si>
    <t>Карпинск, ул.Калинина, д.28 с 01.09.22 искл.</t>
  </si>
  <si>
    <t>Карпинск, ул.Мира, д.95 с 01.12. вышел из упр.</t>
  </si>
  <si>
    <t>Возврат за клининг (с 01.12.21-31.03.2022)</t>
  </si>
  <si>
    <t>Карпинск, ул.Луначарского, д.93 искл.с 01.12.22</t>
  </si>
  <si>
    <t>Неосвоенные ср-ва за обсл. ОПУ</t>
  </si>
  <si>
    <t>1,38</t>
  </si>
  <si>
    <t>без отчисления Ваулину</t>
  </si>
  <si>
    <t>М.И.(29.12.2022)</t>
  </si>
  <si>
    <t>Чепчугова 24.01.2023</t>
  </si>
  <si>
    <t>РАЗНЕСЕНО</t>
  </si>
  <si>
    <r>
      <t>Карпинск, ул.Луначарского, д.70</t>
    </r>
    <r>
      <rPr>
        <sz val="8"/>
        <rFont val="Arial"/>
        <family val="0"/>
      </rPr>
      <t>с 01.05. вкл двор</t>
    </r>
  </si>
  <si>
    <r>
      <t>Карпинск, ул.Луначарского, д.76</t>
    </r>
    <r>
      <rPr>
        <sz val="8"/>
        <rFont val="Arial"/>
        <family val="0"/>
      </rPr>
      <t xml:space="preserve"> с 01.07.вкл. Двор</t>
    </r>
  </si>
  <si>
    <t>Карпинск, ул.Некрасова, д.83 с 01.09. вкл м/у</t>
  </si>
  <si>
    <t>Карпинск, ул.Свободы, д.73 искл. С 01.10.22</t>
  </si>
  <si>
    <t>Выполнение работ сторонними организациями в счет содержания жилья 2015год</t>
  </si>
  <si>
    <t>№ п/п</t>
  </si>
  <si>
    <t>Наименование</t>
  </si>
  <si>
    <t xml:space="preserve">Сумма, руб </t>
  </si>
  <si>
    <t>Дата</t>
  </si>
  <si>
    <t>8 марта, 58</t>
  </si>
  <si>
    <t>видеодиагностика канал.</t>
  </si>
  <si>
    <t>19.10.15.</t>
  </si>
  <si>
    <t>8 марта, 70</t>
  </si>
  <si>
    <t>ремонт ящиков для/пок.</t>
  </si>
  <si>
    <t>22.10.15.</t>
  </si>
  <si>
    <t>8 марта, 74</t>
  </si>
  <si>
    <t>изгот. тех.паспорта</t>
  </si>
  <si>
    <t>26.05.15.</t>
  </si>
  <si>
    <t>Горняков, 39</t>
  </si>
  <si>
    <t>отключение гвс,тепла</t>
  </si>
  <si>
    <t>10.12.15.</t>
  </si>
  <si>
    <t>Горняков, 40</t>
  </si>
  <si>
    <t>дорожный знак</t>
  </si>
  <si>
    <t>10.07.15.</t>
  </si>
  <si>
    <t>Декабристов, 10</t>
  </si>
  <si>
    <t>ремонт почтового ящика</t>
  </si>
  <si>
    <t>16.01.15.</t>
  </si>
  <si>
    <t>Карпинского, 17</t>
  </si>
  <si>
    <t>поверка ОПУ тепла</t>
  </si>
  <si>
    <t>30.11.15.</t>
  </si>
  <si>
    <t>Карпинского, 26</t>
  </si>
  <si>
    <t>откл.ХВС</t>
  </si>
  <si>
    <t>Карпинского, 28</t>
  </si>
  <si>
    <t>датчики движения</t>
  </si>
  <si>
    <t>15.10.15.</t>
  </si>
  <si>
    <t>Карпинского, 30</t>
  </si>
  <si>
    <t>10.06.15.</t>
  </si>
  <si>
    <t>Колхозная, 43</t>
  </si>
  <si>
    <t>отключение ХВС</t>
  </si>
  <si>
    <t>Колхозная, 51</t>
  </si>
  <si>
    <t xml:space="preserve">Колхозная, 53 </t>
  </si>
  <si>
    <t>Куйбышева, 52</t>
  </si>
  <si>
    <t>Ленина, 110</t>
  </si>
  <si>
    <t>09.12.15.</t>
  </si>
  <si>
    <t>Ленина, 114</t>
  </si>
  <si>
    <t>Ленина, 123</t>
  </si>
  <si>
    <t>Ленина, 82а</t>
  </si>
  <si>
    <t>05.10.15.</t>
  </si>
  <si>
    <t>Лермонтова, 17</t>
  </si>
  <si>
    <t>Лермонтова, 8</t>
  </si>
  <si>
    <t>откл. Тепло</t>
  </si>
  <si>
    <t>07.10.15.</t>
  </si>
  <si>
    <t>Лесопильная, 69</t>
  </si>
  <si>
    <t>Луначарского, 124</t>
  </si>
  <si>
    <t>Луначарского, 126</t>
  </si>
  <si>
    <t>Луначарского, 128а</t>
  </si>
  <si>
    <t>Луначарского, 72</t>
  </si>
  <si>
    <t>Луначарского, 80</t>
  </si>
  <si>
    <t>М.Горького, 13</t>
  </si>
  <si>
    <t>22.12.15.</t>
  </si>
  <si>
    <t>Малышева, 2б</t>
  </si>
  <si>
    <t>Мира, 14</t>
  </si>
  <si>
    <t>Мира, 52</t>
  </si>
  <si>
    <t>Мира, 54</t>
  </si>
  <si>
    <t>Мира, 6</t>
  </si>
  <si>
    <t>14.12.15.</t>
  </si>
  <si>
    <t>Мира, 65а</t>
  </si>
  <si>
    <t>Мира, 76</t>
  </si>
  <si>
    <t>пластик.окна</t>
  </si>
  <si>
    <t>11.11.</t>
  </si>
  <si>
    <t>Мира, 8</t>
  </si>
  <si>
    <t>Мира, 80</t>
  </si>
  <si>
    <t>Мира, 84</t>
  </si>
  <si>
    <t>Мира, 87</t>
  </si>
  <si>
    <t>Мира, 91</t>
  </si>
  <si>
    <t>Мира, 97</t>
  </si>
  <si>
    <t>Нахимова, 24</t>
  </si>
  <si>
    <t>Некрасова, 41</t>
  </si>
  <si>
    <t>Попова, 12</t>
  </si>
  <si>
    <t>отключение тепла</t>
  </si>
  <si>
    <t>27.03.15.</t>
  </si>
  <si>
    <t>Пролетарская, 69</t>
  </si>
  <si>
    <t>Свердлова, 14</t>
  </si>
  <si>
    <t>Советская, 113/1</t>
  </si>
  <si>
    <t>почтов. Ящики</t>
  </si>
  <si>
    <t>Советская, 113/2</t>
  </si>
  <si>
    <t>установка почт. Ящиков</t>
  </si>
  <si>
    <t>03.12.15.</t>
  </si>
  <si>
    <t>Советская, 113/3</t>
  </si>
  <si>
    <t>Советская, 119</t>
  </si>
  <si>
    <t>Советская, 123</t>
  </si>
  <si>
    <t>30.04.15.</t>
  </si>
  <si>
    <t>Выполнение работ сторонними организациями в счет содержания жилья 2016год</t>
  </si>
  <si>
    <t>8 марта, 40</t>
  </si>
  <si>
    <t>01.02.16.</t>
  </si>
  <si>
    <t>8 марта, 43</t>
  </si>
  <si>
    <t>поверка ОПУ</t>
  </si>
  <si>
    <t>28.11.16.</t>
  </si>
  <si>
    <t>8 марта,40</t>
  </si>
  <si>
    <t>20.04.16.</t>
  </si>
  <si>
    <t>8 марта,60</t>
  </si>
  <si>
    <t>01.06.16.</t>
  </si>
  <si>
    <t>Белинского, 121</t>
  </si>
  <si>
    <t>оключение ХВС</t>
  </si>
  <si>
    <t>01.10.16.</t>
  </si>
  <si>
    <t>Горняков, 39 (март-июнь)</t>
  </si>
  <si>
    <t>содержание вент.каналов</t>
  </si>
  <si>
    <t>31.03.16.</t>
  </si>
  <si>
    <t>К.Маркса, 20</t>
  </si>
  <si>
    <t>отключ.отопления</t>
  </si>
  <si>
    <t>5,6.12.16.</t>
  </si>
  <si>
    <t>Карпинского, 18</t>
  </si>
  <si>
    <t>Карпинского, 24</t>
  </si>
  <si>
    <t>18.04.16.</t>
  </si>
  <si>
    <t>10.10.16.</t>
  </si>
  <si>
    <t>откл. ХВС</t>
  </si>
  <si>
    <t>06.16.</t>
  </si>
  <si>
    <t>Коммунаров, 50 (март-июнь)</t>
  </si>
  <si>
    <t>Куйбышева, 36</t>
  </si>
  <si>
    <t>крышка ящика для показаний</t>
  </si>
  <si>
    <t>07.12.16.</t>
  </si>
  <si>
    <t>Куйбышева, 42</t>
  </si>
  <si>
    <t>01.12.16.</t>
  </si>
  <si>
    <t>Ленина, 100 (март-июнь)</t>
  </si>
  <si>
    <t xml:space="preserve">Ленина, 110  </t>
  </si>
  <si>
    <t>Ленина, 110 (март-июнь)</t>
  </si>
  <si>
    <t>Ленина, 120</t>
  </si>
  <si>
    <t>27.05.16.</t>
  </si>
  <si>
    <t xml:space="preserve">Ленина, 120 </t>
  </si>
  <si>
    <t>Ленина, 122</t>
  </si>
  <si>
    <t xml:space="preserve">Ленина, 123 </t>
  </si>
  <si>
    <t>17.10.16.</t>
  </si>
  <si>
    <t>Ленина, 123(март-июнь)</t>
  </si>
  <si>
    <t>Ленина, 124</t>
  </si>
  <si>
    <t>Ленина, 76</t>
  </si>
  <si>
    <t>05.08.16.</t>
  </si>
  <si>
    <t>Ленина, 88а</t>
  </si>
  <si>
    <t>ящик для показания</t>
  </si>
  <si>
    <t>Лермонтова, 10</t>
  </si>
  <si>
    <t>перенос счетчика</t>
  </si>
  <si>
    <t>21.12.15.</t>
  </si>
  <si>
    <t>Лесопильная, 44</t>
  </si>
  <si>
    <t>11.04.16.</t>
  </si>
  <si>
    <t>Луначарского, 32</t>
  </si>
  <si>
    <t>отключение отопления</t>
  </si>
  <si>
    <t>29.12.16.</t>
  </si>
  <si>
    <t>Луначарского, 112</t>
  </si>
  <si>
    <t>Луначарского, 128</t>
  </si>
  <si>
    <t>09.03.16.</t>
  </si>
  <si>
    <t>Луначарского, 128а (март-июнь)</t>
  </si>
  <si>
    <t>Луначарского, 61</t>
  </si>
  <si>
    <t>Луначарского, 70</t>
  </si>
  <si>
    <t>14.03.16.</t>
  </si>
  <si>
    <t>Луначарского, 74</t>
  </si>
  <si>
    <t>14.10.16.</t>
  </si>
  <si>
    <t>Луначарского, 74а</t>
  </si>
  <si>
    <t>13.04.16.</t>
  </si>
  <si>
    <t>22.04.16.</t>
  </si>
  <si>
    <t>Луначарского, 84</t>
  </si>
  <si>
    <t>Луначрского, 78а</t>
  </si>
  <si>
    <t>М.Горького, 14а</t>
  </si>
  <si>
    <t>ящики для показания</t>
  </si>
  <si>
    <t>01.04.16.</t>
  </si>
  <si>
    <t>14.04.16.</t>
  </si>
  <si>
    <t>М.Горького, 14а (март-июнь)</t>
  </si>
  <si>
    <t>М.Горького, 3</t>
  </si>
  <si>
    <t>М.горького, 4а</t>
  </si>
  <si>
    <t>24.03.16.</t>
  </si>
  <si>
    <t xml:space="preserve">Мира, 14 </t>
  </si>
  <si>
    <t>Мира, 14 (март-июнь)</t>
  </si>
  <si>
    <t>Мира, 26</t>
  </si>
  <si>
    <t>03.10.16.</t>
  </si>
  <si>
    <t>Мира, 30</t>
  </si>
  <si>
    <t>04.03.16.</t>
  </si>
  <si>
    <t>Мира, 30 (март-июнь)</t>
  </si>
  <si>
    <t>Мира, 34</t>
  </si>
  <si>
    <t>20.02.16.</t>
  </si>
  <si>
    <t>Мира, 36а</t>
  </si>
  <si>
    <t>02.08.16.</t>
  </si>
  <si>
    <t>Мира, 40</t>
  </si>
  <si>
    <t>ящики для показ.</t>
  </si>
  <si>
    <t>12.02.16.</t>
  </si>
  <si>
    <t>Мира, 45а (март-июнь)</t>
  </si>
  <si>
    <t>Мира, 54а</t>
  </si>
  <si>
    <t>Мира, 57</t>
  </si>
  <si>
    <t>18.02.16.</t>
  </si>
  <si>
    <t>Мира, 62</t>
  </si>
  <si>
    <t>14.11.16.</t>
  </si>
  <si>
    <t>Мира, 64</t>
  </si>
  <si>
    <t>Мира, 65</t>
  </si>
  <si>
    <t>Мира, 66</t>
  </si>
  <si>
    <t>Мира, 67</t>
  </si>
  <si>
    <t>Мира, 70</t>
  </si>
  <si>
    <t>10.06.16.</t>
  </si>
  <si>
    <t>Мира, 81</t>
  </si>
  <si>
    <t>пластик. Окна</t>
  </si>
  <si>
    <t>Мира, 85</t>
  </si>
  <si>
    <t>21.07.16.</t>
  </si>
  <si>
    <t>Мира, 93</t>
  </si>
  <si>
    <t>Мира, 95</t>
  </si>
  <si>
    <t>08.02.16.</t>
  </si>
  <si>
    <t>Нахимоа, 20</t>
  </si>
  <si>
    <t>02.02.16.</t>
  </si>
  <si>
    <t>18.06.16.</t>
  </si>
  <si>
    <t>Нахимова, 28</t>
  </si>
  <si>
    <t>Почтамтская, 23</t>
  </si>
  <si>
    <t>вернули жителям</t>
  </si>
  <si>
    <t>27.04.16.</t>
  </si>
  <si>
    <t>Почтамтская, 31</t>
  </si>
  <si>
    <t>Почтамтская, 31(март-июнь)</t>
  </si>
  <si>
    <t>Почтамтская, 35 (март-июнь)</t>
  </si>
  <si>
    <t>Почтамтская, 4</t>
  </si>
  <si>
    <t>Свободы, 40</t>
  </si>
  <si>
    <t>Свободы, 73</t>
  </si>
  <si>
    <t>замена светильника</t>
  </si>
  <si>
    <t>Серова, 13</t>
  </si>
  <si>
    <t>Серова, 15</t>
  </si>
  <si>
    <t>Серова, 17</t>
  </si>
  <si>
    <t>Советская, 113/1 (март-июнь)</t>
  </si>
  <si>
    <t>Советская, 113/2 (март-июнь)</t>
  </si>
  <si>
    <t>Советская, 113/3 (март-июнь)</t>
  </si>
  <si>
    <t xml:space="preserve">Советская, 96  </t>
  </si>
  <si>
    <t>Советская, 96 (март-июнь)</t>
  </si>
  <si>
    <t xml:space="preserve">Уральская, 40   </t>
  </si>
  <si>
    <t>Уральская, 40 (март-июнь)</t>
  </si>
  <si>
    <t>Школьный, 1 (март-июнь)</t>
  </si>
  <si>
    <t>Выполнение работ сторонними организациями в счет содержания жилья 2017год</t>
  </si>
  <si>
    <t>8 марта, 32</t>
  </si>
  <si>
    <t>ящик для показаний</t>
  </si>
  <si>
    <t>30.10.17.</t>
  </si>
  <si>
    <t>ремонт ящиков для показаний</t>
  </si>
  <si>
    <t>13.02.17.</t>
  </si>
  <si>
    <t>8 марта, 36</t>
  </si>
  <si>
    <t>12.05.17.</t>
  </si>
  <si>
    <t>8 марта, 42</t>
  </si>
  <si>
    <t>28.09.17.</t>
  </si>
  <si>
    <t>8 марта, 46</t>
  </si>
  <si>
    <t>8 марта, 54</t>
  </si>
  <si>
    <t>31.07.17.</t>
  </si>
  <si>
    <t>01.06.17.</t>
  </si>
  <si>
    <t>8 марта, 60</t>
  </si>
  <si>
    <t>28.03.17.</t>
  </si>
  <si>
    <t>30.09.17.</t>
  </si>
  <si>
    <t>8 марта, 79</t>
  </si>
  <si>
    <t>29.03.17.</t>
  </si>
  <si>
    <t>проверка смет благ. дворов</t>
  </si>
  <si>
    <t>10.02.17.</t>
  </si>
  <si>
    <t>Карпинского, 19</t>
  </si>
  <si>
    <t>Карпинского, 20</t>
  </si>
  <si>
    <t>15.12.17.</t>
  </si>
  <si>
    <t>Ким, 17</t>
  </si>
  <si>
    <t>почтовые ящики</t>
  </si>
  <si>
    <t>17.05.17.</t>
  </si>
  <si>
    <t>22.05.17.</t>
  </si>
  <si>
    <t>Куйбышева, 32</t>
  </si>
  <si>
    <t>Куйбышева, 40</t>
  </si>
  <si>
    <t>Ленина, 107</t>
  </si>
  <si>
    <t>отключение отопл.</t>
  </si>
  <si>
    <t>Ленина, 123 - 5,7</t>
  </si>
  <si>
    <t>замена системы вентиляции</t>
  </si>
  <si>
    <t>03.05.17.</t>
  </si>
  <si>
    <t>12.04.17.</t>
  </si>
  <si>
    <t>10.06.17.</t>
  </si>
  <si>
    <t>Лесопильная, 139</t>
  </si>
  <si>
    <t>14.02.17.</t>
  </si>
  <si>
    <t xml:space="preserve">Луначарского, 128 </t>
  </si>
  <si>
    <t>31.08.17.</t>
  </si>
  <si>
    <t xml:space="preserve">Луначарского, 128а </t>
  </si>
  <si>
    <t>цветы на придомовую территор.</t>
  </si>
  <si>
    <t>Луначарского, 58</t>
  </si>
  <si>
    <t>05.17.</t>
  </si>
  <si>
    <t>25.09.17.</t>
  </si>
  <si>
    <t>Луначарского, 60</t>
  </si>
  <si>
    <t>26.09.17.</t>
  </si>
  <si>
    <t>04.04.17.</t>
  </si>
  <si>
    <t>Луначарского, 82</t>
  </si>
  <si>
    <t>Луначарского, 94</t>
  </si>
  <si>
    <t>автоуслуги</t>
  </si>
  <si>
    <t xml:space="preserve">Мира, 38а </t>
  </si>
  <si>
    <t>Мира, 4</t>
  </si>
  <si>
    <t>25.08.17.</t>
  </si>
  <si>
    <t>Мира, 45а</t>
  </si>
  <si>
    <t>30.06.17.</t>
  </si>
  <si>
    <t>Мира, 47</t>
  </si>
  <si>
    <t>Мира, 48</t>
  </si>
  <si>
    <t>Мира, 49</t>
  </si>
  <si>
    <t>31.01.17.</t>
  </si>
  <si>
    <t>Мира, 50</t>
  </si>
  <si>
    <t>Мира, 50а</t>
  </si>
  <si>
    <t>Мира, 51</t>
  </si>
  <si>
    <t>отключение теплоснабжения</t>
  </si>
  <si>
    <t>20.02.17.</t>
  </si>
  <si>
    <t>Мира, 53</t>
  </si>
  <si>
    <t>12.12.17.</t>
  </si>
  <si>
    <t>Мира, 55</t>
  </si>
  <si>
    <t>замена ввода отопления</t>
  </si>
  <si>
    <t>06.02.17.</t>
  </si>
  <si>
    <t>Мира, 68</t>
  </si>
  <si>
    <t>Мира, 72</t>
  </si>
  <si>
    <t>Мира, 74</t>
  </si>
  <si>
    <t>кап/рем. электросистемы</t>
  </si>
  <si>
    <t>13.11.17.</t>
  </si>
  <si>
    <t>07.06.17.</t>
  </si>
  <si>
    <t>Мира, 89</t>
  </si>
  <si>
    <t xml:space="preserve">Нахимова, 20 </t>
  </si>
  <si>
    <t>ремонт системы водоснабжения</t>
  </si>
  <si>
    <t>15.07.17.</t>
  </si>
  <si>
    <t>Нахимова, 22</t>
  </si>
  <si>
    <t>Некрасова, 83</t>
  </si>
  <si>
    <t>Попова, 6а</t>
  </si>
  <si>
    <t>30.11.17.</t>
  </si>
  <si>
    <t>Попова, 8</t>
  </si>
  <si>
    <t>Почтамтская, 35</t>
  </si>
  <si>
    <t>Пролетарская, 71</t>
  </si>
  <si>
    <t>Свердлова, 6</t>
  </si>
  <si>
    <t>11.10.17.</t>
  </si>
  <si>
    <t>Свердлова, 7</t>
  </si>
  <si>
    <t>Серова, 23</t>
  </si>
  <si>
    <t>30.12.17.</t>
  </si>
  <si>
    <t>Советская, 115</t>
  </si>
  <si>
    <t>Трудовая, 40</t>
  </si>
  <si>
    <t>Школьный, 1</t>
  </si>
  <si>
    <t>Выполнение работ сторонними организациями в счет содержания жилья 2018год</t>
  </si>
  <si>
    <t>25.10.17.</t>
  </si>
  <si>
    <t>22.11.18.</t>
  </si>
  <si>
    <t>19.12.18.</t>
  </si>
  <si>
    <t>8 марта, 66</t>
  </si>
  <si>
    <t>8 марта, 68</t>
  </si>
  <si>
    <t>9 мая, 5</t>
  </si>
  <si>
    <t>06.11.18.</t>
  </si>
  <si>
    <t>Все дома (кроме аварийных)</t>
  </si>
  <si>
    <t>информационные доски</t>
  </si>
  <si>
    <t>01.08.18.</t>
  </si>
  <si>
    <t>06.06.18.</t>
  </si>
  <si>
    <t>21.05.18.</t>
  </si>
  <si>
    <t>Колхозная, 53</t>
  </si>
  <si>
    <t>14.05.18.</t>
  </si>
  <si>
    <t>стеклопакеты</t>
  </si>
  <si>
    <t>обследование кровли для к/р</t>
  </si>
  <si>
    <t>13.09.18.</t>
  </si>
  <si>
    <t>02.07.18.</t>
  </si>
  <si>
    <t>Ленина, 118</t>
  </si>
  <si>
    <t>стройконтроль</t>
  </si>
  <si>
    <t>12.01.18.</t>
  </si>
  <si>
    <t>выполнение тех.решения</t>
  </si>
  <si>
    <t>17.10.18.</t>
  </si>
  <si>
    <t>Ленина, 48</t>
  </si>
  <si>
    <t>09.02.18.</t>
  </si>
  <si>
    <t>04.04.18.</t>
  </si>
  <si>
    <t>Ленина, 82</t>
  </si>
  <si>
    <t>Лермонтова, 11</t>
  </si>
  <si>
    <t>01.02.18.</t>
  </si>
  <si>
    <t>откл. Теплоснабжения</t>
  </si>
  <si>
    <t>16.07.18.</t>
  </si>
  <si>
    <t>ремонт отмостки</t>
  </si>
  <si>
    <t>30.06.18.</t>
  </si>
  <si>
    <t>замена стеклопакетов</t>
  </si>
  <si>
    <t>10.07.18.</t>
  </si>
  <si>
    <t>12.09.18.</t>
  </si>
  <si>
    <t>Лесопильная, 71</t>
  </si>
  <si>
    <t>Луначарского ,124</t>
  </si>
  <si>
    <t>27.11.18.</t>
  </si>
  <si>
    <t xml:space="preserve">пластиковые двери в тамбур </t>
  </si>
  <si>
    <t>15.11.18.</t>
  </si>
  <si>
    <t>Луначарского, 114</t>
  </si>
  <si>
    <t>15.08.19.</t>
  </si>
  <si>
    <t>03.12.18.</t>
  </si>
  <si>
    <t>замена оконных блоков в подвале</t>
  </si>
  <si>
    <t>27.07.17.</t>
  </si>
  <si>
    <t>Луначарского, 130</t>
  </si>
  <si>
    <t>03.09.18.</t>
  </si>
  <si>
    <t>Луначарского, 59</t>
  </si>
  <si>
    <t>01.03.18.</t>
  </si>
  <si>
    <t>Луначарского, 65а</t>
  </si>
  <si>
    <t>уст-во внутр инж систем(хвс+канал.)</t>
  </si>
  <si>
    <t>09.01.19.</t>
  </si>
  <si>
    <t xml:space="preserve">Луначарского, 74 </t>
  </si>
  <si>
    <t>28.02.18.</t>
  </si>
  <si>
    <t>пластиковые двери в тамбур 3шт.</t>
  </si>
  <si>
    <t>05.09.18.</t>
  </si>
  <si>
    <t>Луначарского, 90а</t>
  </si>
  <si>
    <t>30.01.18.</t>
  </si>
  <si>
    <t>Луначарского,112</t>
  </si>
  <si>
    <t>27.04.18.</t>
  </si>
  <si>
    <t>М.Горького, 2</t>
  </si>
  <si>
    <t>М.Горького, 6</t>
  </si>
  <si>
    <t>05.03.18.</t>
  </si>
  <si>
    <t>обсл. Конструкций(АРХ+)</t>
  </si>
  <si>
    <t>12.02.18.</t>
  </si>
  <si>
    <t>Мира, 38а</t>
  </si>
  <si>
    <t>Мира, 45</t>
  </si>
  <si>
    <t>акт разграничения "МРСК"</t>
  </si>
  <si>
    <t>10.04.18.</t>
  </si>
  <si>
    <t>Мира, 56</t>
  </si>
  <si>
    <t>Мира, 59</t>
  </si>
  <si>
    <t xml:space="preserve">Мира, 6 </t>
  </si>
  <si>
    <t>декларация для энергосбережения</t>
  </si>
  <si>
    <t>25.04.18.</t>
  </si>
  <si>
    <t>ремонт кровли</t>
  </si>
  <si>
    <t xml:space="preserve">Мира, 8 </t>
  </si>
  <si>
    <t>Мира, 83</t>
  </si>
  <si>
    <t>23.07.18.</t>
  </si>
  <si>
    <t>стеклопакеты (2 под.)</t>
  </si>
  <si>
    <t>05.04.18.</t>
  </si>
  <si>
    <t>Нахимова, 20</t>
  </si>
  <si>
    <t>Нахимова, 26</t>
  </si>
  <si>
    <t>стеклопакеты (4 под.)</t>
  </si>
  <si>
    <t>13.04.18.</t>
  </si>
  <si>
    <t>Некрасова, 81</t>
  </si>
  <si>
    <t>стеклопакеты (3 под.)</t>
  </si>
  <si>
    <t>20.04.18.</t>
  </si>
  <si>
    <t>Первомайская, 61</t>
  </si>
  <si>
    <t>Свободы, 139</t>
  </si>
  <si>
    <t>04.07.18.</t>
  </si>
  <si>
    <t>25.07.18.</t>
  </si>
  <si>
    <t>Чайковского, 44а</t>
  </si>
  <si>
    <t>28.05.18.</t>
  </si>
  <si>
    <t>Выполнение работ сторонними организациями в счет содержания жилья 2019год</t>
  </si>
  <si>
    <t>Поверка ОПУ</t>
  </si>
  <si>
    <t>18.12.19.</t>
  </si>
  <si>
    <t>30.09.19.</t>
  </si>
  <si>
    <t>двери пластик.</t>
  </si>
  <si>
    <t>20.11.19.</t>
  </si>
  <si>
    <t>Ленина, 100</t>
  </si>
  <si>
    <t>24.10.18.</t>
  </si>
  <si>
    <t>Ленина, 100а</t>
  </si>
  <si>
    <t>проект на газ</t>
  </si>
  <si>
    <t>28.02.19.</t>
  </si>
  <si>
    <t>Ленина, 101</t>
  </si>
  <si>
    <t>Ленина, 103</t>
  </si>
  <si>
    <t>Ленина, 105</t>
  </si>
  <si>
    <t>Ленина, 109</t>
  </si>
  <si>
    <t>ремонт водоввода</t>
  </si>
  <si>
    <t>19.08.19.</t>
  </si>
  <si>
    <t>Ленина, 110(1,2,3,4,6,7)</t>
  </si>
  <si>
    <t>25.11.19.</t>
  </si>
  <si>
    <t>Ленина, 111</t>
  </si>
  <si>
    <t>Ленина, 113</t>
  </si>
  <si>
    <t>Ленина, 115</t>
  </si>
  <si>
    <t>Ленина, 117</t>
  </si>
  <si>
    <t>Ленина, 119</t>
  </si>
  <si>
    <t>Ленина, 91</t>
  </si>
  <si>
    <t>Ленина, 97</t>
  </si>
  <si>
    <t>Ленина, 98</t>
  </si>
  <si>
    <t>Ленина, 99</t>
  </si>
  <si>
    <t xml:space="preserve">Лермонтова, 1 </t>
  </si>
  <si>
    <t>Лермонтова, 3</t>
  </si>
  <si>
    <t>Лермонтова, 5</t>
  </si>
  <si>
    <t>Лермонтова, 7</t>
  </si>
  <si>
    <t>Лермонтова, 9</t>
  </si>
  <si>
    <t>очистка канализ.трубы до колодца</t>
  </si>
  <si>
    <t>16.07.19.</t>
  </si>
  <si>
    <t>Луначарского, 77</t>
  </si>
  <si>
    <t>Луначарского, 79</t>
  </si>
  <si>
    <t>Луначарского, 79а</t>
  </si>
  <si>
    <t>Луначарского, 83</t>
  </si>
  <si>
    <t xml:space="preserve">М.Горького, 2 </t>
  </si>
  <si>
    <t>М.Горького, 2а</t>
  </si>
  <si>
    <t xml:space="preserve">М.Горького, 4 </t>
  </si>
  <si>
    <t>М.Горького, 4а</t>
  </si>
  <si>
    <t xml:space="preserve">М.Горького, 6 </t>
  </si>
  <si>
    <t>М.Горького, 6а</t>
  </si>
  <si>
    <t>11.11.19.</t>
  </si>
  <si>
    <t>датчики движения(над подъездами)</t>
  </si>
  <si>
    <t>16.12.19.</t>
  </si>
  <si>
    <t>замена дверных блоках в тамбурах</t>
  </si>
  <si>
    <t>13.05.19.</t>
  </si>
  <si>
    <t>окна ПХВ</t>
  </si>
  <si>
    <t>отделка оконных проемов в подъездах</t>
  </si>
  <si>
    <t>24.04.19.</t>
  </si>
  <si>
    <t>Почтмтская, 23</t>
  </si>
  <si>
    <t>25.02.19.</t>
  </si>
  <si>
    <t>Советская, 96</t>
  </si>
  <si>
    <t>обследование кровли(Сутягин)</t>
  </si>
  <si>
    <t>10.04.19.</t>
  </si>
  <si>
    <t>Федорова, 1</t>
  </si>
  <si>
    <t>Выполнение работ по отдельным договорам в счет содержания жилья 2020год</t>
  </si>
  <si>
    <t>ремонт мягкой кровли</t>
  </si>
  <si>
    <t>8 марта, 32 - 12</t>
  </si>
  <si>
    <t>дезинфекция(Роспотребнадзор)</t>
  </si>
  <si>
    <t>8 марта, 32 - 9,96</t>
  </si>
  <si>
    <t>8 марта, 40 - 17</t>
  </si>
  <si>
    <t>8 марта, 43 - 66</t>
  </si>
  <si>
    <t>8 марта, 52 - 8</t>
  </si>
  <si>
    <t>8 марта, 52 - 9</t>
  </si>
  <si>
    <t>8 марта, 54 - 54</t>
  </si>
  <si>
    <t>8 марта, 56 - 44</t>
  </si>
  <si>
    <t>Карпинского, 17 - 35</t>
  </si>
  <si>
    <t>ямочный ремонт территории</t>
  </si>
  <si>
    <t>Карпинского, 20 - 32</t>
  </si>
  <si>
    <t>Карпинского, 20а</t>
  </si>
  <si>
    <t>Карпинского, 30 - 77</t>
  </si>
  <si>
    <t>ремонт ямы ЖБО</t>
  </si>
  <si>
    <t>замена дверных блоков в тамбуре</t>
  </si>
  <si>
    <t>Коммунаров, 49</t>
  </si>
  <si>
    <t>инвентаризация тех. паспорта</t>
  </si>
  <si>
    <t>Коммунаров, 49 - 8</t>
  </si>
  <si>
    <t>Коммунаров, 50</t>
  </si>
  <si>
    <t>Куйбышева, 34</t>
  </si>
  <si>
    <t>Куйбышева, 42 - 20</t>
  </si>
  <si>
    <t>Ленина, 100 - 6</t>
  </si>
  <si>
    <t>проект на газ(корректировка возврат)</t>
  </si>
  <si>
    <t xml:space="preserve">Ленина, 110 </t>
  </si>
  <si>
    <t>Ленина, 110 - 48</t>
  </si>
  <si>
    <t>Ленина, 110 - 67</t>
  </si>
  <si>
    <t>Ленина, 114 - 59</t>
  </si>
  <si>
    <t>Ленина, 122 - 6</t>
  </si>
  <si>
    <t>Лермонтова, 17 - 111</t>
  </si>
  <si>
    <t>Лермонтова, 17 - 24</t>
  </si>
  <si>
    <t>Лермонтова, 17 - 66</t>
  </si>
  <si>
    <t>Лесопильная, 137</t>
  </si>
  <si>
    <t>Лесопильная, 139 - 29</t>
  </si>
  <si>
    <t>Лесопильная, 44 - 32</t>
  </si>
  <si>
    <t>Лесопильная, 44 - 61</t>
  </si>
  <si>
    <t>Лесопильная, 61</t>
  </si>
  <si>
    <t>Луначарского, 126 - 41</t>
  </si>
  <si>
    <t>система видеонаблюдения</t>
  </si>
  <si>
    <t>Луначарского, 128а - 53</t>
  </si>
  <si>
    <t>реконструкция системы ГВС</t>
  </si>
  <si>
    <t>Луначарского, 130 - 101</t>
  </si>
  <si>
    <t>Луначарского, 58 - 22,26,35</t>
  </si>
  <si>
    <t>Луначарского, 58 - 32</t>
  </si>
  <si>
    <t>Луначарского, 58 - 43</t>
  </si>
  <si>
    <t>Луначарского, 60 - 57</t>
  </si>
  <si>
    <t>Луначарского, 60 - 59</t>
  </si>
  <si>
    <t>Луначарского, 74 - 47</t>
  </si>
  <si>
    <t>датчики движения(возврат)</t>
  </si>
  <si>
    <t>Луначарского, 78 - 2</t>
  </si>
  <si>
    <t>Луначарского, 78а</t>
  </si>
  <si>
    <t>Луначарского, 80 - 10</t>
  </si>
  <si>
    <t>Луначарского, 80 - 6</t>
  </si>
  <si>
    <t>Луначарского, 82 - 4</t>
  </si>
  <si>
    <t>М.Горького, 13 - 106</t>
  </si>
  <si>
    <t>М.Горького, 13 - 32</t>
  </si>
  <si>
    <t>М.Горького, 13 - 99</t>
  </si>
  <si>
    <t>М.Горького, 2 - 3</t>
  </si>
  <si>
    <t>М.Горького, 8</t>
  </si>
  <si>
    <t>Мира, 14  - 15</t>
  </si>
  <si>
    <t>Мира, 14 - 4</t>
  </si>
  <si>
    <t>Мира, 4 - 53</t>
  </si>
  <si>
    <t>Мира, 40 - 4</t>
  </si>
  <si>
    <t xml:space="preserve">Мира, 45 </t>
  </si>
  <si>
    <t>Мира, 45( под.4,5,6,7,8)</t>
  </si>
  <si>
    <t>ремонт парапета</t>
  </si>
  <si>
    <t>Мира, 50а- 13,15</t>
  </si>
  <si>
    <t>отключение системы отопления</t>
  </si>
  <si>
    <t>Мира, 54а - 16</t>
  </si>
  <si>
    <t>Мира, 55 - 10</t>
  </si>
  <si>
    <t>ремонт системы ХВС</t>
  </si>
  <si>
    <t>Мира, 6 - 77</t>
  </si>
  <si>
    <t>Мира, 62 - 62</t>
  </si>
  <si>
    <t>ремонт  кровли</t>
  </si>
  <si>
    <t>Мира, 64 - 45</t>
  </si>
  <si>
    <t>Мира, 64 - 60</t>
  </si>
  <si>
    <t>Мира, 67 - 34</t>
  </si>
  <si>
    <t>Мира, 72 - 90</t>
  </si>
  <si>
    <t>канализация в подвале</t>
  </si>
  <si>
    <t>Мира, 76 - 60</t>
  </si>
  <si>
    <t>Мира, 8 - 26,27</t>
  </si>
  <si>
    <t>Мира, 8 - 9</t>
  </si>
  <si>
    <t>Мира, 81 - 42</t>
  </si>
  <si>
    <t>окна ПВХ</t>
  </si>
  <si>
    <t>Мира, 95 - 31</t>
  </si>
  <si>
    <t>Мира, 97 - 28</t>
  </si>
  <si>
    <t>Мира, 97 - 43</t>
  </si>
  <si>
    <t xml:space="preserve">Нахимова, 22  </t>
  </si>
  <si>
    <t>Нахимова, 22(1,4под.)</t>
  </si>
  <si>
    <t>Нахимова, 24 - 54</t>
  </si>
  <si>
    <t>Некрасова, 83 - 50</t>
  </si>
  <si>
    <t>Первомайская, 61 - 30</t>
  </si>
  <si>
    <t>Первомайская, 61-70,21</t>
  </si>
  <si>
    <t>по домам</t>
  </si>
  <si>
    <t>размещ. Информ. На ГИСЖКХ</t>
  </si>
  <si>
    <t>Попова, 14</t>
  </si>
  <si>
    <t>Пролетарская, 69 - 30</t>
  </si>
  <si>
    <t>Пролетарская, 69 - 35</t>
  </si>
  <si>
    <t>Пролетарская, 69 - 65</t>
  </si>
  <si>
    <t>ремонт системы электроснабжения</t>
  </si>
  <si>
    <t>оплобирование узлов учета</t>
  </si>
  <si>
    <t>Пролетарская, 71 - 50</t>
  </si>
  <si>
    <t>Пролетарская, 71 - 93</t>
  </si>
  <si>
    <t>Свердлова, 1</t>
  </si>
  <si>
    <t>Свердлова, 3</t>
  </si>
  <si>
    <t>Свердлова, 4</t>
  </si>
  <si>
    <t>отключение тс</t>
  </si>
  <si>
    <t>Свободы, 104</t>
  </si>
  <si>
    <t>Свободы, 104 - 16</t>
  </si>
  <si>
    <t xml:space="preserve">Серова, 13 </t>
  </si>
  <si>
    <t>Серова, 13 - 29</t>
  </si>
  <si>
    <t>Серова, 13 - 71</t>
  </si>
  <si>
    <t>Трудовая, 40 - 60</t>
  </si>
  <si>
    <t>Уральская, 40</t>
  </si>
  <si>
    <t>Уральская, 40 - 23,27</t>
  </si>
  <si>
    <t>Челюскинцев, 40</t>
  </si>
  <si>
    <t>Школьный, 1 - 22</t>
  </si>
  <si>
    <t>Выполнение работ по отдельным договорам в счет содержания жилья 2021год</t>
  </si>
  <si>
    <t xml:space="preserve">8 марта, 32  </t>
  </si>
  <si>
    <t>8 марта, 32 - 39</t>
  </si>
  <si>
    <t>8 марта, 32 - 72</t>
  </si>
  <si>
    <t>8 марта, 32 - 87</t>
  </si>
  <si>
    <t>8 марта, 36 - 33</t>
  </si>
  <si>
    <t>8 марта, 36(1,2 под.)</t>
  </si>
  <si>
    <t>8 марта, 40 - 11</t>
  </si>
  <si>
    <t xml:space="preserve">8 марта, 43 </t>
  </si>
  <si>
    <t>8 марта, 43 - 34</t>
  </si>
  <si>
    <t>8 марта, 50 - 4</t>
  </si>
  <si>
    <t>8 марта, 52</t>
  </si>
  <si>
    <t>8 марта, 54 - 55</t>
  </si>
  <si>
    <t>8 марта, 56</t>
  </si>
  <si>
    <t>8 марта, 56 - 66</t>
  </si>
  <si>
    <t>8 марта, 64</t>
  </si>
  <si>
    <t>8 марта, 68 - 26</t>
  </si>
  <si>
    <t>9 мая, 1 - 6</t>
  </si>
  <si>
    <t>9 мая, 5(1,2 под)</t>
  </si>
  <si>
    <t>замена дверей в тамбуре</t>
  </si>
  <si>
    <t xml:space="preserve">Карпинского, 11 </t>
  </si>
  <si>
    <t>Карпинского, 13 - 39</t>
  </si>
  <si>
    <t>доля собст.по благоустройству террит.</t>
  </si>
  <si>
    <t xml:space="preserve">Карпинского, 17  </t>
  </si>
  <si>
    <t>Карпинского, 17 - 41</t>
  </si>
  <si>
    <t>Карпинского, 19 - 24</t>
  </si>
  <si>
    <t>Карпинского, 19 - 58</t>
  </si>
  <si>
    <t>Карпинского, 20 - 38</t>
  </si>
  <si>
    <t xml:space="preserve">Карпинского, 20а </t>
  </si>
  <si>
    <t>Карпинского, 20а - 21</t>
  </si>
  <si>
    <t>29.01.2021.</t>
  </si>
  <si>
    <t>Карпинского, 24 - 46</t>
  </si>
  <si>
    <t>Карпинского, 30 - 38</t>
  </si>
  <si>
    <t>Карпинского, 30 - 55</t>
  </si>
  <si>
    <t>Колхозная, 51 - 33</t>
  </si>
  <si>
    <t>Колхозная, 51 - 56</t>
  </si>
  <si>
    <t>Колхозная, 51 - 62</t>
  </si>
  <si>
    <t>Колхозная, 53 - 52</t>
  </si>
  <si>
    <t>утепление вытяжных труб</t>
  </si>
  <si>
    <t xml:space="preserve">ремонт электроснабж. </t>
  </si>
  <si>
    <t>Куйбышева, 32 - 13</t>
  </si>
  <si>
    <t>Куйбышева, 32 - 56</t>
  </si>
  <si>
    <t>Куйбышева, 40-20</t>
  </si>
  <si>
    <t>Куйбышева, 40-39</t>
  </si>
  <si>
    <t>замена оконных блоков</t>
  </si>
  <si>
    <t>Ленина, 110 - 101</t>
  </si>
  <si>
    <t>Ленина, 110 - 11</t>
  </si>
  <si>
    <t>Ленина, 113 - 4</t>
  </si>
  <si>
    <t>Ленина, 114 - 13</t>
  </si>
  <si>
    <t>Ленина, 114 - 45</t>
  </si>
  <si>
    <t xml:space="preserve">Ленина, 82 </t>
  </si>
  <si>
    <t>Ленина, 84</t>
  </si>
  <si>
    <t>Ленина, 86 - 10</t>
  </si>
  <si>
    <t>Ленина, 86 - 8</t>
  </si>
  <si>
    <t xml:space="preserve">Ленина, 88а </t>
  </si>
  <si>
    <t>Ленина, 88а - 28</t>
  </si>
  <si>
    <t>Ленина, 93</t>
  </si>
  <si>
    <t>Лермонтва, 12 - 2</t>
  </si>
  <si>
    <t>Лермонтова, 10 - 8</t>
  </si>
  <si>
    <t>Лермонтова, 12</t>
  </si>
  <si>
    <t>Лермонтова, 17 - 83</t>
  </si>
  <si>
    <t>Лесопильная, 139 - 22</t>
  </si>
  <si>
    <t>Лесопильная, 44 - 11</t>
  </si>
  <si>
    <t>Лесопильная, 44 - 57</t>
  </si>
  <si>
    <t>Лесопильная, 59</t>
  </si>
  <si>
    <t>техприсоединение эл.сетей</t>
  </si>
  <si>
    <t>Лесопильная, 59 - 81</t>
  </si>
  <si>
    <t>Лесопильная, 63</t>
  </si>
  <si>
    <t>Лесопильная, 71 - 1</t>
  </si>
  <si>
    <t>Лесопильная, 71 - 5</t>
  </si>
  <si>
    <t>отключение ХВС, ГВС</t>
  </si>
  <si>
    <t>Луначарского, 114 - 102</t>
  </si>
  <si>
    <t>Луначарского, 114 - 105</t>
  </si>
  <si>
    <t>Луначарского, 114 - 53</t>
  </si>
  <si>
    <t>Луначарского, 114 - 9</t>
  </si>
  <si>
    <t>Луначарского, 114 - 90</t>
  </si>
  <si>
    <t>Луначарского, 114-80</t>
  </si>
  <si>
    <t>Луначарского, 114-98</t>
  </si>
  <si>
    <t>Луначарского, 123</t>
  </si>
  <si>
    <t>Луначарского, 124 - 55</t>
  </si>
  <si>
    <t>Луначарского, 124 - 75</t>
  </si>
  <si>
    <t>Луначарского, 124 - 8</t>
  </si>
  <si>
    <t>Луначарского, 126 - 69</t>
  </si>
  <si>
    <t>Луначарского, 126 - 84</t>
  </si>
  <si>
    <t>обследование конструкций кровли(заключение)</t>
  </si>
  <si>
    <t>Луначарского, 128а - 32</t>
  </si>
  <si>
    <t>Луначарского, 130-86,7</t>
  </si>
  <si>
    <t>Луначарского, 60 - 10</t>
  </si>
  <si>
    <t>Луначарского, 60 - 35</t>
  </si>
  <si>
    <t>Луначарского, 60 - 43</t>
  </si>
  <si>
    <t>Луначарского, 60 - 80</t>
  </si>
  <si>
    <t>Луначарского, 63</t>
  </si>
  <si>
    <t>Луначарского, 65</t>
  </si>
  <si>
    <t>Луначарского, 70 - 18</t>
  </si>
  <si>
    <t>Луначарского, 74 - 22</t>
  </si>
  <si>
    <t>Луначарского, 74а - 40</t>
  </si>
  <si>
    <t>Луначарского, 78</t>
  </si>
  <si>
    <t>Луначарского, 78 - 26</t>
  </si>
  <si>
    <t>Луначарского, 78а - 14</t>
  </si>
  <si>
    <t>внесение изменений в техпаспорте</t>
  </si>
  <si>
    <t>Луначарского, 81</t>
  </si>
  <si>
    <t>Луначарского, 86 - 5</t>
  </si>
  <si>
    <t>Луначарского, 92 - 7</t>
  </si>
  <si>
    <t>М Горького, 14а</t>
  </si>
  <si>
    <t>М.Горького, 12 - 5</t>
  </si>
  <si>
    <t>М.Горького, 13( 3 под.)</t>
  </si>
  <si>
    <t>замена оконных блоков в подъездах</t>
  </si>
  <si>
    <t>М.Горького, 14а - 53</t>
  </si>
  <si>
    <t>М.Горького, 29</t>
  </si>
  <si>
    <t xml:space="preserve">Мира, 14  </t>
  </si>
  <si>
    <t>Мира, 14 - 3</t>
  </si>
  <si>
    <t>Мира, 14 - 44</t>
  </si>
  <si>
    <t>Мира, 30 - 79</t>
  </si>
  <si>
    <t>Мира, 38</t>
  </si>
  <si>
    <t xml:space="preserve">Мира, 4 </t>
  </si>
  <si>
    <t>Мира, 4 - 7</t>
  </si>
  <si>
    <t>Мира, 4 - 88</t>
  </si>
  <si>
    <t>Мира, 45 - 10</t>
  </si>
  <si>
    <t xml:space="preserve">Мира, 45а  </t>
  </si>
  <si>
    <t>Мира, 45а - 32</t>
  </si>
  <si>
    <t>доля собст.в провед работ по благоустройству террит.</t>
  </si>
  <si>
    <t>Мира, 50 - 7</t>
  </si>
  <si>
    <t xml:space="preserve">Мира, 50а  </t>
  </si>
  <si>
    <t>Мира, 54 - 60</t>
  </si>
  <si>
    <t>Мира, 54 - 7</t>
  </si>
  <si>
    <t>Мира, 54а - 38</t>
  </si>
  <si>
    <t>Мира, 57 - 12</t>
  </si>
  <si>
    <t>Мира, 57 - 9</t>
  </si>
  <si>
    <t>Мира, 6 - 39</t>
  </si>
  <si>
    <t>Мира, 6 (1,5 под.)</t>
  </si>
  <si>
    <t>замена дверных  блоков</t>
  </si>
  <si>
    <t>Мира, 62 - 100</t>
  </si>
  <si>
    <t>Мира, 62 - 28</t>
  </si>
  <si>
    <t>Мира, 62 - 79</t>
  </si>
  <si>
    <t>Мира, 62 (6 под.)</t>
  </si>
  <si>
    <t>Мира, 62 (8 под.)</t>
  </si>
  <si>
    <t>Мира, 65 - 30</t>
  </si>
  <si>
    <t>Мира, 65 - 44</t>
  </si>
  <si>
    <t>Мира, 65а - 39</t>
  </si>
  <si>
    <t xml:space="preserve">Мира, 66 - 46 </t>
  </si>
  <si>
    <t>Мира, 70 - 20</t>
  </si>
  <si>
    <t>Мира, 70 - 93</t>
  </si>
  <si>
    <t>Мира, 70 - 94</t>
  </si>
  <si>
    <t>Мира, 70-63</t>
  </si>
  <si>
    <t>Мира, 70-92</t>
  </si>
  <si>
    <t>Мира, 72 - 15</t>
  </si>
  <si>
    <t>Мира, 72 - 53</t>
  </si>
  <si>
    <t>Мира, 72 - 69</t>
  </si>
  <si>
    <t>Мира, 74 - 64</t>
  </si>
  <si>
    <t>Мира, 76 - 94</t>
  </si>
  <si>
    <t>Мира, 76 - 98</t>
  </si>
  <si>
    <t>Мира, 81 - 6</t>
  </si>
  <si>
    <t>Мира, 81(1 подъезд)</t>
  </si>
  <si>
    <t>Мира, 83 - 38</t>
  </si>
  <si>
    <t>Мира, 84 - 16</t>
  </si>
  <si>
    <t>Мира, 84 - 9</t>
  </si>
  <si>
    <t>Мира, 85 - 48</t>
  </si>
  <si>
    <t>Мира, 85 - 50</t>
  </si>
  <si>
    <t>Мира, 91 - 19</t>
  </si>
  <si>
    <t xml:space="preserve">Мира, 93 </t>
  </si>
  <si>
    <t>Мира, 93 - 19</t>
  </si>
  <si>
    <t>Мира, 95 - 10</t>
  </si>
  <si>
    <t>Мира, 95 - 62</t>
  </si>
  <si>
    <t>Мира, 97 - 31</t>
  </si>
  <si>
    <t xml:space="preserve">Нахимова, 20  </t>
  </si>
  <si>
    <t>Нахимова, 20 - 26</t>
  </si>
  <si>
    <t>Нахимова, 22 - 44</t>
  </si>
  <si>
    <t>Нахимова, 22 - 55</t>
  </si>
  <si>
    <t>Нахимова, 24 - 34</t>
  </si>
  <si>
    <t xml:space="preserve">Нахимова, 28   </t>
  </si>
  <si>
    <t>замена оконных блоков (подвал)</t>
  </si>
  <si>
    <t>Нахимова, 28 - 34</t>
  </si>
  <si>
    <t>Нахимовва, 20</t>
  </si>
  <si>
    <t>Некрасова, 81 - 18</t>
  </si>
  <si>
    <t xml:space="preserve">Некрасова, 83  </t>
  </si>
  <si>
    <t>Некрасова, 83 - 22</t>
  </si>
  <si>
    <t>Некрасова, 83 - 66</t>
  </si>
  <si>
    <t>Некрасова, 83 - 72</t>
  </si>
  <si>
    <t>Некрасова, 83 - 88</t>
  </si>
  <si>
    <t>Некрасова, 85 - 1</t>
  </si>
  <si>
    <t>Некрасова, 85 - 19</t>
  </si>
  <si>
    <t>Некрасова, 85 - 67</t>
  </si>
  <si>
    <t>Первомайская, 61 - 1</t>
  </si>
  <si>
    <t>Первомайская, 61 - 43</t>
  </si>
  <si>
    <t>Первомайская, 61 - 63</t>
  </si>
  <si>
    <t>Попова, 6</t>
  </si>
  <si>
    <t>Почтамтская, 31 - 15</t>
  </si>
  <si>
    <t>Почтамтская, 33 - 11</t>
  </si>
  <si>
    <t>Почтамтская, 33 - 5</t>
  </si>
  <si>
    <t xml:space="preserve">Пролетарская, 66   </t>
  </si>
  <si>
    <t>Пролетарская, 66 - 21</t>
  </si>
  <si>
    <t>Пролетарская, 69 - 24</t>
  </si>
  <si>
    <t>Пролетарская, 69 - 31</t>
  </si>
  <si>
    <t>Пролетарская, 69 - 8</t>
  </si>
  <si>
    <t>ремонт электроснабж. в подвале</t>
  </si>
  <si>
    <t xml:space="preserve">Свердлова, 14  </t>
  </si>
  <si>
    <t>Свердлова, 14 - 6</t>
  </si>
  <si>
    <t>Свердлова, 6а</t>
  </si>
  <si>
    <t xml:space="preserve">Свердлова, 7  </t>
  </si>
  <si>
    <t>Свердлова, 7 - 12</t>
  </si>
  <si>
    <t xml:space="preserve">Свободы, 104  </t>
  </si>
  <si>
    <t>Свободы, 141</t>
  </si>
  <si>
    <t>Свободы, 40 - 12</t>
  </si>
  <si>
    <t>измерение искусственной освещенности</t>
  </si>
  <si>
    <t>Серова, 13 - 26</t>
  </si>
  <si>
    <t>Серова, 13 - 89</t>
  </si>
  <si>
    <t>Серова, 13 - 96</t>
  </si>
  <si>
    <t>Советская, 113 /2</t>
  </si>
  <si>
    <t>замена газовых кранов</t>
  </si>
  <si>
    <t>Советская, 113/2 - 2</t>
  </si>
  <si>
    <t>Советская, 117</t>
  </si>
  <si>
    <t>Уральская, 40 - 15</t>
  </si>
  <si>
    <t>Уральская, 40 - 55,21</t>
  </si>
  <si>
    <t>Уральского, 40</t>
  </si>
  <si>
    <t>Федорова, 3</t>
  </si>
  <si>
    <t>Челюскинцев, 40 - 7</t>
  </si>
  <si>
    <t>Школьный, 1 - 16</t>
  </si>
  <si>
    <t>ВСЕГО</t>
  </si>
  <si>
    <t>Выполнение работ по отдельным договорам в счет содержания жилья 2022год</t>
  </si>
  <si>
    <t xml:space="preserve">   </t>
  </si>
  <si>
    <t>тех/обследование на к/р</t>
  </si>
  <si>
    <t>8 марта, 32(10под.)</t>
  </si>
  <si>
    <t>возврат средств за 2021г</t>
  </si>
  <si>
    <t>БТИ(смена тарифа эл.энергии)</t>
  </si>
  <si>
    <t>8 марта, 43(1,2,3)</t>
  </si>
  <si>
    <t>8 марта, 43(6 под.)</t>
  </si>
  <si>
    <t>8 марта, 44</t>
  </si>
  <si>
    <t>8 марта, 48</t>
  </si>
  <si>
    <t>перенос ИПУ эл/эн. в подъезды</t>
  </si>
  <si>
    <t>30.09.2022</t>
  </si>
  <si>
    <t>ремонт системы канализации,ХВС</t>
  </si>
  <si>
    <t>асфальтирование  придомовой территории</t>
  </si>
  <si>
    <t>9 мая, 1</t>
  </si>
  <si>
    <t>замена светильников</t>
  </si>
  <si>
    <t>Каопинского, 18</t>
  </si>
  <si>
    <t>Карпинског, 17</t>
  </si>
  <si>
    <t>Карпинского, 11</t>
  </si>
  <si>
    <t>Карпинского, 13</t>
  </si>
  <si>
    <t>Карпинского, 15</t>
  </si>
  <si>
    <t>Карпинского, 19(кв.54)</t>
  </si>
  <si>
    <t xml:space="preserve">Карпинского, 20 </t>
  </si>
  <si>
    <t>ремонт ХВС</t>
  </si>
  <si>
    <t>Куйбышева, 36 (3 под.)</t>
  </si>
  <si>
    <t>Куйбышева, 38</t>
  </si>
  <si>
    <t>Куйбышева, 38 (1,2 под)</t>
  </si>
  <si>
    <t>Куйбышева,42</t>
  </si>
  <si>
    <t>БТИ( изменение в паспорте газификация)</t>
  </si>
  <si>
    <t>устройство ливневой канализации</t>
  </si>
  <si>
    <t>Ленина, 80</t>
  </si>
  <si>
    <t>смена газовых кранов</t>
  </si>
  <si>
    <t>техприсоединение к газу</t>
  </si>
  <si>
    <t>Лермонтова, 14</t>
  </si>
  <si>
    <t>Лермонтова, 17 (1,3 под.)</t>
  </si>
  <si>
    <t>Лесопильная, 44 (3 под.)</t>
  </si>
  <si>
    <t>ремонт крыльца</t>
  </si>
  <si>
    <t>Лесопильная, 69 (6 под.)</t>
  </si>
  <si>
    <t>Лесопильная, 71 (1 под.)</t>
  </si>
  <si>
    <t xml:space="preserve">Луначарского, 114 </t>
  </si>
  <si>
    <t>Луначарского, 114(7,8 под.)</t>
  </si>
  <si>
    <t>Луначарского, 114(9 под.)</t>
  </si>
  <si>
    <t>Луначарского, 124 (4 под.)</t>
  </si>
  <si>
    <t>Луначарского, 126( 3 под.)</t>
  </si>
  <si>
    <t>ремонт системы отопления</t>
  </si>
  <si>
    <t>Луначарского, 128 (6 под.)</t>
  </si>
  <si>
    <t>Луначарского, 128 (7,8 под.)</t>
  </si>
  <si>
    <t>Луначарского, 34</t>
  </si>
  <si>
    <t xml:space="preserve">Луначарского, 58 </t>
  </si>
  <si>
    <t>Луначарского, 58(1,2,3,4 под)</t>
  </si>
  <si>
    <t>Луначарского, 76</t>
  </si>
  <si>
    <t>Луначарского, 76 (1,2 под.)</t>
  </si>
  <si>
    <t>замена оконных и дверных блоков  в тамбуре</t>
  </si>
  <si>
    <t>Луначарского, 86</t>
  </si>
  <si>
    <t>Луначарского, 92</t>
  </si>
  <si>
    <t>М.Горького, 13 (2,8 под.)</t>
  </si>
  <si>
    <t>М.Горького, 13(1 под)</t>
  </si>
  <si>
    <t>М.Горького, 4</t>
  </si>
  <si>
    <t>Малышева, 45</t>
  </si>
  <si>
    <t>Малышева, 47</t>
  </si>
  <si>
    <t>Мира, 36</t>
  </si>
  <si>
    <t>Мира, 4(1,3 под.)</t>
  </si>
  <si>
    <t>Мира, 42</t>
  </si>
  <si>
    <t>Мира, 44 (2 под.)</t>
  </si>
  <si>
    <t xml:space="preserve">Мира, 44  </t>
  </si>
  <si>
    <t>Мира, 45 (5 под.)</t>
  </si>
  <si>
    <t>Мира, 45 (6 под.)</t>
  </si>
  <si>
    <t>Мира, 45 (7 под.)</t>
  </si>
  <si>
    <t>Мира, 45а (1,2,3,4 под.))</t>
  </si>
  <si>
    <t>Мира, 48 (2 под.)</t>
  </si>
  <si>
    <t>ремонт шиферной кровли</t>
  </si>
  <si>
    <t>Мира, 6 (3 под.)</t>
  </si>
  <si>
    <t>Мира, 6 - (2,12 под.)</t>
  </si>
  <si>
    <t xml:space="preserve">Мира, 62  </t>
  </si>
  <si>
    <t>Мира, 62 (2 под.)</t>
  </si>
  <si>
    <t>Мира, 62 (3 под)</t>
  </si>
  <si>
    <t>Мира, 62 (4,7 под.)</t>
  </si>
  <si>
    <t>Мира, 66 (1,2,3 под.)</t>
  </si>
  <si>
    <t>Мира, 67 (3 под.)</t>
  </si>
  <si>
    <t xml:space="preserve">Мира, 70   </t>
  </si>
  <si>
    <t>Мира, 70 (1,2,3,4,5,6)</t>
  </si>
  <si>
    <t xml:space="preserve">Мира, 74  </t>
  </si>
  <si>
    <t>Мира, 74 (3,4 под.)</t>
  </si>
  <si>
    <t>Мира, 76 (Глинков)</t>
  </si>
  <si>
    <t xml:space="preserve">Мира, 76  </t>
  </si>
  <si>
    <t>Мира, 8(1,3 под)</t>
  </si>
  <si>
    <t>Мира, 8(4 под)</t>
  </si>
  <si>
    <t>Мира, 85(1,2,3 под)</t>
  </si>
  <si>
    <t xml:space="preserve">Мира, 89  </t>
  </si>
  <si>
    <t>Мира, 89 (1,2,3 под.)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</si>
</sst>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"/>
    <numFmt numFmtId="179" formatCode="0.0000"/>
    <numFmt numFmtId="180" formatCode="0.000%"/>
    <numFmt numFmtId="181" formatCode="0.0000%"/>
    <numFmt numFmtId="182" formatCode="0.0%"/>
  </numFmts>
  <fonts count="5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sz val="10"/>
      <color indexed="10"/>
      <name val="Arial"/>
      <family val="0"/>
    </font>
    <font>
      <b/>
      <i/>
      <sz val="12"/>
      <name val="Arial"/>
      <family val="2"/>
    </font>
    <font>
      <b/>
      <sz val="14"/>
      <color indexed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4"/>
      <name val="Arial"/>
      <family val="0"/>
    </font>
    <font>
      <b/>
      <i/>
      <sz val="12"/>
      <color indexed="10"/>
      <name val="Arial"/>
      <family val="2"/>
    </font>
    <font>
      <b/>
      <i/>
      <sz val="12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0"/>
    </font>
    <font>
      <b/>
      <sz val="12"/>
      <color indexed="10"/>
      <name val="Arial"/>
      <family val="2"/>
    </font>
    <font>
      <b/>
      <sz val="12"/>
      <name val="Arial Cyr"/>
      <family val="0"/>
    </font>
    <font>
      <b/>
      <i/>
      <sz val="10"/>
      <color indexed="10"/>
      <name val="Arial"/>
      <family val="2"/>
    </font>
    <font>
      <sz val="9"/>
      <name val="Arial"/>
      <family val="0"/>
    </font>
    <font>
      <b/>
      <i/>
      <sz val="9"/>
      <name val="Arial"/>
      <family val="2"/>
    </font>
    <font>
      <sz val="12"/>
      <color indexed="10"/>
      <name val="Arial"/>
      <family val="2"/>
    </font>
    <font>
      <sz val="14"/>
      <color indexed="10"/>
      <name val="Arial"/>
      <family val="2"/>
    </font>
    <font>
      <b/>
      <sz val="14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8"/>
      <name val="Tahoma"/>
      <family val="2"/>
    </font>
    <font>
      <b/>
      <i/>
      <sz val="11"/>
      <name val="Arial"/>
      <family val="0"/>
    </font>
  </fonts>
  <fills count="2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>
        <color indexed="63"/>
      </right>
      <top style="thin">
        <color indexed="53"/>
      </top>
      <bottom style="double">
        <color indexed="5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4" borderId="0" applyNumberFormat="0" applyBorder="0" applyAlignment="0" applyProtection="0"/>
    <xf numFmtId="0" fontId="6" fillId="2" borderId="1" applyNumberFormat="0" applyAlignment="0" applyProtection="0"/>
    <xf numFmtId="0" fontId="7" fillId="9" borderId="2" applyNumberFormat="0" applyAlignment="0" applyProtection="0"/>
    <xf numFmtId="0" fontId="8" fillId="9" borderId="1" applyNumberFormat="0" applyAlignment="0" applyProtection="0"/>
    <xf numFmtId="0" fontId="2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5" borderId="7" applyNumberFormat="0" applyAlignment="0" applyProtection="0"/>
    <xf numFmtId="0" fontId="1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16" borderId="11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26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0" fillId="0" borderId="12" xfId="0" applyNumberFormat="1" applyFill="1" applyBorder="1" applyAlignment="1">
      <alignment/>
    </xf>
    <xf numFmtId="0" fontId="0" fillId="0" borderId="13" xfId="0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2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16" borderId="0" xfId="0" applyFill="1" applyAlignment="1">
      <alignment/>
    </xf>
    <xf numFmtId="2" fontId="26" fillId="0" borderId="12" xfId="0" applyNumberFormat="1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2" fontId="27" fillId="2" borderId="10" xfId="0" applyNumberFormat="1" applyFont="1" applyFill="1" applyBorder="1" applyAlignment="1">
      <alignment/>
    </xf>
    <xf numFmtId="0" fontId="27" fillId="2" borderId="11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9" fillId="0" borderId="14" xfId="0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16" borderId="15" xfId="0" applyFill="1" applyBorder="1" applyAlignment="1">
      <alignment/>
    </xf>
    <xf numFmtId="0" fontId="0" fillId="0" borderId="0" xfId="0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2" fontId="0" fillId="0" borderId="0" xfId="0" applyNumberFormat="1" applyFill="1" applyBorder="1" applyAlignment="1">
      <alignment/>
    </xf>
    <xf numFmtId="2" fontId="30" fillId="0" borderId="16" xfId="0" applyNumberFormat="1" applyFont="1" applyBorder="1" applyAlignment="1">
      <alignment/>
    </xf>
    <xf numFmtId="2" fontId="27" fillId="16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28" fillId="0" borderId="0" xfId="0" applyFont="1" applyFill="1" applyAlignment="1">
      <alignment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9" xfId="0" applyBorder="1" applyAlignment="1">
      <alignment wrapText="1"/>
    </xf>
    <xf numFmtId="0" fontId="1" fillId="0" borderId="15" xfId="0" applyFon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0" fillId="18" borderId="10" xfId="0" applyFill="1" applyBorder="1" applyAlignment="1">
      <alignment horizontal="center"/>
    </xf>
    <xf numFmtId="2" fontId="0" fillId="0" borderId="12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horizontal="center"/>
    </xf>
    <xf numFmtId="0" fontId="37" fillId="18" borderId="10" xfId="0" applyFont="1" applyFill="1" applyBorder="1" applyAlignment="1">
      <alignment horizontal="center"/>
    </xf>
    <xf numFmtId="0" fontId="36" fillId="18" borderId="10" xfId="0" applyFont="1" applyFill="1" applyBorder="1" applyAlignment="1">
      <alignment horizontal="center"/>
    </xf>
    <xf numFmtId="2" fontId="36" fillId="18" borderId="10" xfId="0" applyNumberFormat="1" applyFont="1" applyFill="1" applyBorder="1" applyAlignment="1">
      <alignment horizontal="center"/>
    </xf>
    <xf numFmtId="2" fontId="1" fillId="18" borderId="10" xfId="0" applyNumberFormat="1" applyFont="1" applyFill="1" applyBorder="1" applyAlignment="1">
      <alignment/>
    </xf>
    <xf numFmtId="2" fontId="38" fillId="18" borderId="10" xfId="0" applyNumberFormat="1" applyFont="1" applyFill="1" applyBorder="1" applyAlignment="1">
      <alignment/>
    </xf>
    <xf numFmtId="0" fontId="1" fillId="0" borderId="19" xfId="0" applyFont="1" applyBorder="1" applyAlignment="1">
      <alignment horizontal="center" wrapText="1"/>
    </xf>
    <xf numFmtId="0" fontId="0" fillId="2" borderId="15" xfId="0" applyFill="1" applyBorder="1" applyAlignment="1">
      <alignment/>
    </xf>
    <xf numFmtId="0" fontId="0" fillId="17" borderId="15" xfId="0" applyFill="1" applyBorder="1" applyAlignment="1">
      <alignment/>
    </xf>
    <xf numFmtId="0" fontId="0" fillId="6" borderId="15" xfId="0" applyFill="1" applyBorder="1" applyAlignment="1">
      <alignment/>
    </xf>
    <xf numFmtId="0" fontId="0" fillId="19" borderId="15" xfId="0" applyFill="1" applyBorder="1" applyAlignment="1">
      <alignment/>
    </xf>
    <xf numFmtId="0" fontId="0" fillId="20" borderId="15" xfId="0" applyFont="1" applyFill="1" applyBorder="1" applyAlignment="1">
      <alignment/>
    </xf>
    <xf numFmtId="17" fontId="1" fillId="0" borderId="13" xfId="0" applyNumberFormat="1" applyFont="1" applyFill="1" applyBorder="1" applyAlignment="1">
      <alignment horizontal="center"/>
    </xf>
    <xf numFmtId="0" fontId="0" fillId="2" borderId="13" xfId="0" applyFill="1" applyBorder="1" applyAlignment="1">
      <alignment/>
    </xf>
    <xf numFmtId="17" fontId="1" fillId="2" borderId="13" xfId="0" applyNumberFormat="1" applyFont="1" applyFill="1" applyBorder="1" applyAlignment="1">
      <alignment horizontal="center"/>
    </xf>
    <xf numFmtId="0" fontId="0" fillId="17" borderId="13" xfId="0" applyFill="1" applyBorder="1" applyAlignment="1">
      <alignment/>
    </xf>
    <xf numFmtId="17" fontId="1" fillId="17" borderId="13" xfId="0" applyNumberFormat="1" applyFont="1" applyFill="1" applyBorder="1" applyAlignment="1">
      <alignment horizontal="center"/>
    </xf>
    <xf numFmtId="0" fontId="0" fillId="6" borderId="13" xfId="0" applyFill="1" applyBorder="1" applyAlignment="1">
      <alignment/>
    </xf>
    <xf numFmtId="17" fontId="1" fillId="6" borderId="13" xfId="0" applyNumberFormat="1" applyFont="1" applyFill="1" applyBorder="1" applyAlignment="1">
      <alignment horizontal="center"/>
    </xf>
    <xf numFmtId="0" fontId="0" fillId="19" borderId="13" xfId="0" applyFill="1" applyBorder="1" applyAlignment="1">
      <alignment/>
    </xf>
    <xf numFmtId="17" fontId="1" fillId="19" borderId="13" xfId="0" applyNumberFormat="1" applyFont="1" applyFill="1" applyBorder="1" applyAlignment="1">
      <alignment horizontal="center"/>
    </xf>
    <xf numFmtId="0" fontId="0" fillId="16" borderId="13" xfId="0" applyFill="1" applyBorder="1" applyAlignment="1">
      <alignment/>
    </xf>
    <xf numFmtId="17" fontId="1" fillId="16" borderId="13" xfId="0" applyNumberFormat="1" applyFont="1" applyFill="1" applyBorder="1" applyAlignment="1">
      <alignment horizontal="center"/>
    </xf>
    <xf numFmtId="0" fontId="0" fillId="20" borderId="13" xfId="0" applyFont="1" applyFill="1" applyBorder="1" applyAlignment="1">
      <alignment/>
    </xf>
    <xf numFmtId="17" fontId="1" fillId="20" borderId="13" xfId="0" applyNumberFormat="1" applyFont="1" applyFill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11" xfId="0" applyFill="1" applyBorder="1" applyAlignment="1">
      <alignment wrapText="1"/>
    </xf>
    <xf numFmtId="0" fontId="0" fillId="17" borderId="11" xfId="0" applyFill="1" applyBorder="1" applyAlignment="1">
      <alignment/>
    </xf>
    <xf numFmtId="0" fontId="0" fillId="6" borderId="11" xfId="0" applyFill="1" applyBorder="1" applyAlignment="1">
      <alignment/>
    </xf>
    <xf numFmtId="0" fontId="0" fillId="6" borderId="11" xfId="0" applyFill="1" applyBorder="1" applyAlignment="1">
      <alignment wrapText="1"/>
    </xf>
    <xf numFmtId="16" fontId="0" fillId="19" borderId="11" xfId="0" applyNumberFormat="1" applyFill="1" applyBorder="1" applyAlignment="1">
      <alignment/>
    </xf>
    <xf numFmtId="0" fontId="0" fillId="19" borderId="11" xfId="0" applyFill="1" applyBorder="1" applyAlignment="1">
      <alignment/>
    </xf>
    <xf numFmtId="16" fontId="0" fillId="16" borderId="11" xfId="0" applyNumberFormat="1" applyFill="1" applyBorder="1" applyAlignment="1">
      <alignment/>
    </xf>
    <xf numFmtId="16" fontId="0" fillId="20" borderId="11" xfId="0" applyNumberFormat="1" applyFont="1" applyFill="1" applyBorder="1" applyAlignment="1">
      <alignment/>
    </xf>
    <xf numFmtId="0" fontId="0" fillId="20" borderId="11" xfId="0" applyFont="1" applyFill="1" applyBorder="1" applyAlignment="1">
      <alignment/>
    </xf>
    <xf numFmtId="0" fontId="1" fillId="0" borderId="11" xfId="0" applyFont="1" applyBorder="1" applyAlignment="1">
      <alignment wrapText="1"/>
    </xf>
    <xf numFmtId="0" fontId="29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9" fillId="0" borderId="0" xfId="0" applyFont="1" applyAlignment="1">
      <alignment/>
    </xf>
    <xf numFmtId="0" fontId="31" fillId="0" borderId="0" xfId="0" applyFont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26" fillId="0" borderId="10" xfId="0" applyFont="1" applyFill="1" applyBorder="1" applyAlignment="1">
      <alignment/>
    </xf>
    <xf numFmtId="0" fontId="25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5" xfId="0" applyFont="1" applyBorder="1" applyAlignment="1">
      <alignment/>
    </xf>
    <xf numFmtId="0" fontId="0" fillId="0" borderId="13" xfId="0" applyFont="1" applyFill="1" applyBorder="1" applyAlignment="1">
      <alignment/>
    </xf>
    <xf numFmtId="0" fontId="25" fillId="0" borderId="13" xfId="0" applyFont="1" applyBorder="1" applyAlignment="1">
      <alignment/>
    </xf>
    <xf numFmtId="0" fontId="0" fillId="0" borderId="11" xfId="0" applyFill="1" applyBorder="1" applyAlignment="1">
      <alignment wrapText="1"/>
    </xf>
    <xf numFmtId="16" fontId="0" fillId="0" borderId="11" xfId="0" applyNumberFormat="1" applyFill="1" applyBorder="1" applyAlignment="1">
      <alignment/>
    </xf>
    <xf numFmtId="16" fontId="0" fillId="0" borderId="11" xfId="0" applyNumberFormat="1" applyFont="1" applyFill="1" applyBorder="1" applyAlignment="1">
      <alignment/>
    </xf>
    <xf numFmtId="0" fontId="25" fillId="0" borderId="11" xfId="0" applyFont="1" applyBorder="1" applyAlignment="1">
      <alignment wrapText="1"/>
    </xf>
    <xf numFmtId="2" fontId="41" fillId="0" borderId="10" xfId="0" applyNumberFormat="1" applyFont="1" applyBorder="1" applyAlignment="1">
      <alignment horizontal="center"/>
    </xf>
    <xf numFmtId="2" fontId="42" fillId="17" borderId="10" xfId="0" applyNumberFormat="1" applyFont="1" applyFill="1" applyBorder="1" applyAlignment="1">
      <alignment horizontal="center"/>
    </xf>
    <xf numFmtId="2" fontId="42" fillId="6" borderId="10" xfId="0" applyNumberFormat="1" applyFont="1" applyFill="1" applyBorder="1" applyAlignment="1">
      <alignment horizontal="center"/>
    </xf>
    <xf numFmtId="0" fontId="41" fillId="0" borderId="10" xfId="0" applyFont="1" applyBorder="1" applyAlignment="1">
      <alignment horizontal="center"/>
    </xf>
    <xf numFmtId="2" fontId="42" fillId="19" borderId="10" xfId="0" applyNumberFormat="1" applyFont="1" applyFill="1" applyBorder="1" applyAlignment="1">
      <alignment horizontal="center"/>
    </xf>
    <xf numFmtId="0" fontId="42" fillId="16" borderId="10" xfId="0" applyFont="1" applyFill="1" applyBorder="1" applyAlignment="1">
      <alignment horizontal="center"/>
    </xf>
    <xf numFmtId="16" fontId="41" fillId="0" borderId="11" xfId="0" applyNumberFormat="1" applyFont="1" applyFill="1" applyBorder="1" applyAlignment="1">
      <alignment horizontal="center"/>
    </xf>
    <xf numFmtId="0" fontId="42" fillId="20" borderId="10" xfId="0" applyFont="1" applyFill="1" applyBorder="1" applyAlignment="1">
      <alignment horizontal="center"/>
    </xf>
    <xf numFmtId="2" fontId="25" fillId="0" borderId="10" xfId="0" applyNumberFormat="1" applyFont="1" applyBorder="1" applyAlignment="1">
      <alignment/>
    </xf>
    <xf numFmtId="0" fontId="42" fillId="19" borderId="10" xfId="0" applyFont="1" applyFill="1" applyBorder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43" fillId="18" borderId="0" xfId="0" applyFont="1" applyFill="1" applyAlignment="1">
      <alignment/>
    </xf>
    <xf numFmtId="0" fontId="28" fillId="18" borderId="0" xfId="0" applyFont="1" applyFill="1" applyAlignment="1">
      <alignment/>
    </xf>
    <xf numFmtId="0" fontId="26" fillId="18" borderId="0" xfId="0" applyFont="1" applyFill="1" applyAlignment="1">
      <alignment/>
    </xf>
    <xf numFmtId="2" fontId="28" fillId="18" borderId="10" xfId="0" applyNumberFormat="1" applyFont="1" applyFill="1" applyBorder="1" applyAlignment="1">
      <alignment/>
    </xf>
    <xf numFmtId="0" fontId="44" fillId="18" borderId="0" xfId="0" applyFont="1" applyFill="1" applyAlignment="1">
      <alignment/>
    </xf>
    <xf numFmtId="0" fontId="0" fillId="0" borderId="14" xfId="0" applyFill="1" applyBorder="1" applyAlignment="1">
      <alignment wrapText="1"/>
    </xf>
    <xf numFmtId="0" fontId="0" fillId="0" borderId="14" xfId="0" applyFill="1" applyBorder="1" applyAlignment="1">
      <alignment horizontal="center"/>
    </xf>
    <xf numFmtId="0" fontId="1" fillId="0" borderId="14" xfId="0" applyFont="1" applyFill="1" applyBorder="1" applyAlignment="1">
      <alignment horizontal="center" vertical="top" wrapText="1"/>
    </xf>
    <xf numFmtId="0" fontId="0" fillId="16" borderId="14" xfId="0" applyFill="1" applyBorder="1" applyAlignment="1">
      <alignment/>
    </xf>
    <xf numFmtId="0" fontId="1" fillId="16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3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0" fontId="0" fillId="16" borderId="10" xfId="0" applyFill="1" applyBorder="1" applyAlignment="1">
      <alignment/>
    </xf>
    <xf numFmtId="0" fontId="25" fillId="0" borderId="10" xfId="0" applyFont="1" applyFill="1" applyBorder="1" applyAlignment="1">
      <alignment/>
    </xf>
    <xf numFmtId="0" fontId="34" fillId="2" borderId="13" xfId="0" applyFont="1" applyFill="1" applyBorder="1" applyAlignment="1">
      <alignment horizontal="center" wrapText="1"/>
    </xf>
    <xf numFmtId="0" fontId="34" fillId="2" borderId="13" xfId="0" applyFont="1" applyFill="1" applyBorder="1" applyAlignment="1">
      <alignment horizontal="center"/>
    </xf>
    <xf numFmtId="0" fontId="27" fillId="2" borderId="13" xfId="0" applyFont="1" applyFill="1" applyBorder="1" applyAlignment="1">
      <alignment horizontal="center"/>
    </xf>
    <xf numFmtId="2" fontId="26" fillId="0" borderId="10" xfId="0" applyNumberFormat="1" applyFont="1" applyFill="1" applyBorder="1" applyAlignment="1">
      <alignment/>
    </xf>
    <xf numFmtId="2" fontId="27" fillId="21" borderId="10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/>
    </xf>
    <xf numFmtId="49" fontId="41" fillId="0" borderId="11" xfId="0" applyNumberFormat="1" applyFont="1" applyFill="1" applyBorder="1" applyAlignment="1">
      <alignment horizontal="center"/>
    </xf>
    <xf numFmtId="49" fontId="42" fillId="2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1" fillId="18" borderId="10" xfId="0" applyNumberFormat="1" applyFont="1" applyFill="1" applyBorder="1" applyAlignment="1">
      <alignment horizontal="center"/>
    </xf>
    <xf numFmtId="2" fontId="38" fillId="18" borderId="10" xfId="0" applyNumberFormat="1" applyFont="1" applyFill="1" applyBorder="1" applyAlignment="1">
      <alignment horizontal="center"/>
    </xf>
    <xf numFmtId="2" fontId="28" fillId="18" borderId="10" xfId="0" applyNumberFormat="1" applyFont="1" applyFill="1" applyBorder="1" applyAlignment="1">
      <alignment horizontal="center"/>
    </xf>
    <xf numFmtId="2" fontId="30" fillId="0" borderId="16" xfId="0" applyNumberFormat="1" applyFont="1" applyFill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2" fontId="28" fillId="0" borderId="0" xfId="0" applyNumberFormat="1" applyFont="1" applyFill="1" applyAlignment="1">
      <alignment/>
    </xf>
    <xf numFmtId="2" fontId="0" fillId="0" borderId="14" xfId="0" applyNumberFormat="1" applyFill="1" applyBorder="1" applyAlignment="1">
      <alignment wrapText="1"/>
    </xf>
    <xf numFmtId="2" fontId="0" fillId="0" borderId="0" xfId="0" applyNumberFormat="1" applyFill="1" applyBorder="1" applyAlignment="1">
      <alignment horizontal="center" wrapText="1"/>
    </xf>
    <xf numFmtId="0" fontId="31" fillId="0" borderId="0" xfId="0" applyFont="1" applyFill="1" applyAlignment="1">
      <alignment/>
    </xf>
    <xf numFmtId="2" fontId="31" fillId="0" borderId="12" xfId="0" applyNumberFormat="1" applyFont="1" applyFill="1" applyBorder="1" applyAlignment="1">
      <alignment/>
    </xf>
    <xf numFmtId="0" fontId="28" fillId="0" borderId="12" xfId="0" applyFont="1" applyFill="1" applyBorder="1" applyAlignment="1">
      <alignment horizontal="center" wrapText="1"/>
    </xf>
    <xf numFmtId="0" fontId="21" fillId="2" borderId="23" xfId="0" applyFont="1" applyFill="1" applyBorder="1" applyAlignment="1">
      <alignment/>
    </xf>
    <xf numFmtId="2" fontId="27" fillId="0" borderId="10" xfId="0" applyNumberFormat="1" applyFont="1" applyFill="1" applyBorder="1" applyAlignment="1">
      <alignment horizontal="center"/>
    </xf>
    <xf numFmtId="2" fontId="34" fillId="21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31" fillId="0" borderId="10" xfId="0" applyNumberFormat="1" applyFont="1" applyBorder="1" applyAlignment="1">
      <alignment/>
    </xf>
    <xf numFmtId="0" fontId="31" fillId="0" borderId="15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9" fontId="31" fillId="0" borderId="11" xfId="0" applyNumberFormat="1" applyFont="1" applyBorder="1" applyAlignment="1">
      <alignment horizontal="center"/>
    </xf>
    <xf numFmtId="0" fontId="38" fillId="0" borderId="10" xfId="0" applyFont="1" applyBorder="1" applyAlignment="1">
      <alignment wrapText="1"/>
    </xf>
    <xf numFmtId="0" fontId="44" fillId="0" borderId="0" xfId="0" applyFont="1" applyFill="1" applyAlignment="1">
      <alignment/>
    </xf>
    <xf numFmtId="17" fontId="1" fillId="0" borderId="22" xfId="0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0" fontId="37" fillId="18" borderId="12" xfId="0" applyFont="1" applyFill="1" applyBorder="1" applyAlignment="1">
      <alignment horizontal="center"/>
    </xf>
    <xf numFmtId="0" fontId="31" fillId="0" borderId="22" xfId="0" applyFont="1" applyBorder="1" applyAlignment="1">
      <alignment horizontal="center"/>
    </xf>
    <xf numFmtId="9" fontId="31" fillId="0" borderId="20" xfId="0" applyNumberFormat="1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38" fillId="0" borderId="12" xfId="0" applyFont="1" applyBorder="1" applyAlignment="1">
      <alignment wrapText="1"/>
    </xf>
    <xf numFmtId="0" fontId="0" fillId="22" borderId="10" xfId="0" applyFill="1" applyBorder="1" applyAlignment="1">
      <alignment/>
    </xf>
    <xf numFmtId="2" fontId="30" fillId="22" borderId="16" xfId="0" applyNumberFormat="1" applyFont="1" applyFill="1" applyBorder="1" applyAlignment="1">
      <alignment/>
    </xf>
    <xf numFmtId="0" fontId="45" fillId="16" borderId="0" xfId="0" applyFont="1" applyFill="1" applyAlignment="1">
      <alignment/>
    </xf>
    <xf numFmtId="2" fontId="40" fillId="0" borderId="10" xfId="0" applyNumberFormat="1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4" fontId="0" fillId="0" borderId="13" xfId="0" applyNumberFormat="1" applyFill="1" applyBorder="1" applyAlignment="1">
      <alignment/>
    </xf>
    <xf numFmtId="0" fontId="25" fillId="0" borderId="15" xfId="0" applyFont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/>
    </xf>
    <xf numFmtId="0" fontId="25" fillId="0" borderId="11" xfId="0" applyFont="1" applyBorder="1" applyAlignment="1">
      <alignment/>
    </xf>
    <xf numFmtId="2" fontId="25" fillId="18" borderId="10" xfId="0" applyNumberFormat="1" applyFont="1" applyFill="1" applyBorder="1" applyAlignment="1">
      <alignment/>
    </xf>
    <xf numFmtId="2" fontId="45" fillId="18" borderId="10" xfId="0" applyNumberFormat="1" applyFont="1" applyFill="1" applyBorder="1" applyAlignment="1">
      <alignment horizontal="center"/>
    </xf>
    <xf numFmtId="2" fontId="32" fillId="21" borderId="12" xfId="0" applyNumberFormat="1" applyFont="1" applyFill="1" applyBorder="1" applyAlignment="1">
      <alignment horizontal="center"/>
    </xf>
    <xf numFmtId="2" fontId="2" fillId="21" borderId="10" xfId="0" applyNumberFormat="1" applyFont="1" applyFill="1" applyBorder="1" applyAlignment="1">
      <alignment horizontal="center"/>
    </xf>
    <xf numFmtId="0" fontId="25" fillId="0" borderId="11" xfId="0" applyFont="1" applyFill="1" applyBorder="1" applyAlignment="1">
      <alignment wrapText="1"/>
    </xf>
    <xf numFmtId="2" fontId="29" fillId="0" borderId="18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14" fontId="0" fillId="0" borderId="10" xfId="0" applyNumberFormat="1" applyFill="1" applyBorder="1" applyAlignment="1">
      <alignment/>
    </xf>
    <xf numFmtId="2" fontId="0" fillId="0" borderId="0" xfId="0" applyNumberFormat="1" applyFont="1" applyFill="1" applyAlignment="1">
      <alignment/>
    </xf>
    <xf numFmtId="0" fontId="29" fillId="0" borderId="20" xfId="0" applyFont="1" applyFill="1" applyBorder="1" applyAlignment="1">
      <alignment horizontal="center"/>
    </xf>
    <xf numFmtId="0" fontId="29" fillId="0" borderId="18" xfId="0" applyFont="1" applyFill="1" applyBorder="1" applyAlignment="1">
      <alignment horizontal="center"/>
    </xf>
    <xf numFmtId="14" fontId="0" fillId="0" borderId="10" xfId="0" applyNumberFormat="1" applyFill="1" applyBorder="1" applyAlignment="1">
      <alignment horizontal="left"/>
    </xf>
    <xf numFmtId="0" fontId="28" fillId="0" borderId="0" xfId="0" applyFont="1" applyFill="1" applyBorder="1" applyAlignment="1">
      <alignment horizontal="center"/>
    </xf>
    <xf numFmtId="2" fontId="0" fillId="0" borderId="11" xfId="0" applyNumberFormat="1" applyFill="1" applyBorder="1" applyAlignment="1">
      <alignment/>
    </xf>
    <xf numFmtId="14" fontId="0" fillId="0" borderId="11" xfId="0" applyNumberFormat="1" applyFill="1" applyBorder="1" applyAlignment="1">
      <alignment/>
    </xf>
    <xf numFmtId="171" fontId="0" fillId="0" borderId="10" xfId="60" applyFont="1" applyFill="1" applyBorder="1" applyAlignment="1">
      <alignment/>
    </xf>
    <xf numFmtId="2" fontId="1" fillId="0" borderId="14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14" fontId="0" fillId="0" borderId="11" xfId="0" applyNumberFormat="1" applyFont="1" applyFill="1" applyBorder="1" applyAlignment="1">
      <alignment/>
    </xf>
    <xf numFmtId="14" fontId="0" fillId="0" borderId="11" xfId="0" applyNumberFormat="1" applyFill="1" applyBorder="1" applyAlignment="1">
      <alignment horizontal="right"/>
    </xf>
    <xf numFmtId="14" fontId="0" fillId="0" borderId="10" xfId="0" applyNumberFormat="1" applyFill="1" applyBorder="1" applyAlignment="1">
      <alignment horizontal="right"/>
    </xf>
    <xf numFmtId="2" fontId="45" fillId="0" borderId="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49" fontId="0" fillId="0" borderId="10" xfId="0" applyNumberFormat="1" applyFill="1" applyBorder="1" applyAlignment="1">
      <alignment horizontal="right"/>
    </xf>
    <xf numFmtId="0" fontId="29" fillId="0" borderId="15" xfId="0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/>
    </xf>
    <xf numFmtId="0" fontId="29" fillId="0" borderId="23" xfId="0" applyFont="1" applyFill="1" applyBorder="1" applyAlignment="1">
      <alignment/>
    </xf>
    <xf numFmtId="2" fontId="0" fillId="21" borderId="10" xfId="0" applyNumberFormat="1" applyFont="1" applyFill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27" fillId="0" borderId="0" xfId="0" applyFont="1" applyAlignment="1">
      <alignment/>
    </xf>
    <xf numFmtId="0" fontId="29" fillId="0" borderId="0" xfId="0" applyFont="1" applyAlignment="1">
      <alignment/>
    </xf>
    <xf numFmtId="0" fontId="45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25" fillId="0" borderId="19" xfId="0" applyFont="1" applyFill="1" applyBorder="1" applyAlignment="1">
      <alignment horizontal="center"/>
    </xf>
    <xf numFmtId="0" fontId="29" fillId="0" borderId="14" xfId="0" applyFont="1" applyFill="1" applyBorder="1" applyAlignment="1">
      <alignment horizontal="center"/>
    </xf>
    <xf numFmtId="0" fontId="25" fillId="0" borderId="2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12" xfId="0" applyFill="1" applyBorder="1" applyAlignment="1">
      <alignment horizontal="center" wrapText="1"/>
    </xf>
    <xf numFmtId="0" fontId="0" fillId="0" borderId="25" xfId="0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22" xfId="0" applyFont="1" applyFill="1" applyBorder="1" applyAlignment="1">
      <alignment horizontal="center"/>
    </xf>
    <xf numFmtId="0" fontId="25" fillId="0" borderId="22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 wrapText="1"/>
    </xf>
    <xf numFmtId="2" fontId="49" fillId="0" borderId="12" xfId="0" applyNumberFormat="1" applyFont="1" applyFill="1" applyBorder="1" applyAlignment="1">
      <alignment/>
    </xf>
    <xf numFmtId="2" fontId="27" fillId="21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38" fillId="0" borderId="24" xfId="0" applyFont="1" applyFill="1" applyBorder="1" applyAlignment="1">
      <alignment horizontal="center"/>
    </xf>
    <xf numFmtId="0" fontId="31" fillId="0" borderId="23" xfId="0" applyFont="1" applyFill="1" applyBorder="1" applyAlignment="1">
      <alignment horizontal="center"/>
    </xf>
    <xf numFmtId="0" fontId="46" fillId="0" borderId="23" xfId="0" applyFont="1" applyFill="1" applyBorder="1" applyAlignment="1">
      <alignment horizontal="center"/>
    </xf>
    <xf numFmtId="0" fontId="25" fillId="0" borderId="20" xfId="0" applyFont="1" applyFill="1" applyBorder="1" applyAlignment="1">
      <alignment horizontal="center"/>
    </xf>
    <xf numFmtId="0" fontId="29" fillId="0" borderId="18" xfId="0" applyFont="1" applyFill="1" applyBorder="1" applyAlignment="1">
      <alignment horizontal="center"/>
    </xf>
    <xf numFmtId="0" fontId="25" fillId="0" borderId="18" xfId="0" applyFont="1" applyFill="1" applyBorder="1" applyAlignment="1">
      <alignment horizontal="center"/>
    </xf>
    <xf numFmtId="0" fontId="38" fillId="0" borderId="21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33" fillId="0" borderId="17" xfId="0" applyFont="1" applyFill="1" applyBorder="1" applyAlignment="1">
      <alignment horizontal="center"/>
    </xf>
    <xf numFmtId="0" fontId="33" fillId="0" borderId="17" xfId="0" applyFont="1" applyBorder="1" applyAlignment="1">
      <alignment/>
    </xf>
    <xf numFmtId="0" fontId="33" fillId="0" borderId="25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Эркер">
      <a:dk1>
        <a:sysClr val="windowText" lastClr="000000"/>
      </a:dk1>
      <a:lt1>
        <a:sysClr val="window" lastClr="FFFFFF"/>
      </a:lt1>
      <a:dk2>
        <a:srgbClr val="575F6D"/>
      </a:dk2>
      <a:lt2>
        <a:srgbClr val="FFF39D"/>
      </a:lt2>
      <a:accent1>
        <a:srgbClr val="FE8637"/>
      </a:accent1>
      <a:accent2>
        <a:srgbClr val="7598D9"/>
      </a:accent2>
      <a:accent3>
        <a:srgbClr val="B32C16"/>
      </a:accent3>
      <a:accent4>
        <a:srgbClr val="F5CD2D"/>
      </a:accent4>
      <a:accent5>
        <a:srgbClr val="AEBAD5"/>
      </a:accent5>
      <a:accent6>
        <a:srgbClr val="777C84"/>
      </a:accent6>
      <a:hlink>
        <a:srgbClr val="D2611C"/>
      </a:hlink>
      <a:folHlink>
        <a:srgbClr val="3B435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4"/>
  <sheetViews>
    <sheetView workbookViewId="0" topLeftCell="F102">
      <selection activeCell="T121" sqref="T121"/>
    </sheetView>
  </sheetViews>
  <sheetFormatPr defaultColWidth="9.140625" defaultRowHeight="12.75"/>
  <cols>
    <col min="2" max="2" width="31.57421875" style="0" customWidth="1"/>
    <col min="3" max="3" width="20.421875" style="0" customWidth="1"/>
    <col min="4" max="4" width="17.140625" style="0" customWidth="1"/>
    <col min="5" max="5" width="21.00390625" style="0" customWidth="1"/>
    <col min="6" max="6" width="12.140625" style="0" customWidth="1"/>
    <col min="7" max="7" width="17.7109375" style="0" customWidth="1"/>
    <col min="9" max="9" width="13.7109375" style="0" customWidth="1"/>
    <col min="11" max="11" width="19.7109375" style="0" customWidth="1"/>
    <col min="13" max="13" width="11.7109375" style="0" customWidth="1"/>
    <col min="15" max="15" width="13.00390625" style="0" customWidth="1"/>
    <col min="16" max="16" width="15.7109375" style="0" customWidth="1"/>
    <col min="17" max="17" width="15.00390625" style="0" customWidth="1"/>
    <col min="18" max="18" width="15.7109375" style="0" customWidth="1"/>
    <col min="19" max="19" width="17.140625" style="0" customWidth="1"/>
    <col min="20" max="20" width="18.57421875" style="0" customWidth="1"/>
  </cols>
  <sheetData>
    <row r="1" spans="1:4" ht="15">
      <c r="A1" s="222"/>
      <c r="B1" s="222"/>
      <c r="C1" s="222"/>
      <c r="D1" s="222"/>
    </row>
    <row r="2" spans="1:14" ht="12.75">
      <c r="A2" s="39"/>
      <c r="B2" s="97" t="s">
        <v>368</v>
      </c>
      <c r="C2" s="98"/>
      <c r="D2" s="98"/>
      <c r="F2" s="36"/>
      <c r="G2" s="36"/>
      <c r="H2" s="36"/>
      <c r="I2" s="36"/>
      <c r="J2" s="36"/>
      <c r="K2" s="36"/>
      <c r="L2" s="36"/>
      <c r="M2" s="36"/>
      <c r="N2" s="36"/>
    </row>
    <row r="3" spans="1:17" ht="12.75">
      <c r="A3" s="37" t="s">
        <v>369</v>
      </c>
      <c r="B3" s="37" t="s">
        <v>370</v>
      </c>
      <c r="C3" s="37" t="s">
        <v>371</v>
      </c>
      <c r="D3" s="37" t="s">
        <v>372</v>
      </c>
      <c r="E3" s="45" t="s">
        <v>373</v>
      </c>
      <c r="F3" s="37" t="s">
        <v>374</v>
      </c>
      <c r="G3" s="37" t="s">
        <v>375</v>
      </c>
      <c r="H3" s="37" t="s">
        <v>376</v>
      </c>
      <c r="I3" s="37" t="s">
        <v>375</v>
      </c>
      <c r="J3" s="37" t="s">
        <v>377</v>
      </c>
      <c r="K3" s="37" t="s">
        <v>375</v>
      </c>
      <c r="L3" s="37" t="s">
        <v>378</v>
      </c>
      <c r="M3" s="37" t="s">
        <v>375</v>
      </c>
      <c r="N3" s="37" t="s">
        <v>379</v>
      </c>
      <c r="O3" s="37"/>
      <c r="P3" s="37"/>
      <c r="Q3" s="46" t="s">
        <v>366</v>
      </c>
    </row>
    <row r="4" spans="1:17" ht="12.75">
      <c r="A4" s="47"/>
      <c r="B4" s="47"/>
      <c r="C4" s="47"/>
      <c r="D4" s="47"/>
      <c r="E4" s="47" t="s">
        <v>380</v>
      </c>
      <c r="F4" s="47"/>
      <c r="G4" s="47" t="s">
        <v>381</v>
      </c>
      <c r="H4" s="47"/>
      <c r="I4" s="47" t="s">
        <v>381</v>
      </c>
      <c r="J4" s="47"/>
      <c r="K4" s="47" t="s">
        <v>381</v>
      </c>
      <c r="L4" s="47" t="s">
        <v>382</v>
      </c>
      <c r="M4" s="47" t="s">
        <v>381</v>
      </c>
      <c r="N4" s="47"/>
      <c r="O4" s="47"/>
      <c r="P4" s="47"/>
      <c r="Q4" s="48" t="s">
        <v>383</v>
      </c>
    </row>
    <row r="5" spans="1:17" ht="12.7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 t="s">
        <v>384</v>
      </c>
      <c r="Q5" s="48" t="s">
        <v>385</v>
      </c>
    </row>
    <row r="6" spans="1:17" ht="12.7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49" t="s">
        <v>386</v>
      </c>
    </row>
    <row r="7" spans="1:17" ht="12.75">
      <c r="A7" s="35">
        <v>1</v>
      </c>
      <c r="B7" s="1" t="s">
        <v>387</v>
      </c>
      <c r="C7" s="35" t="s">
        <v>388</v>
      </c>
      <c r="D7" s="50">
        <v>738.8</v>
      </c>
      <c r="E7" s="51">
        <f>E26/D26*D7</f>
        <v>354594.00927668496</v>
      </c>
      <c r="F7" s="35">
        <v>1.9</v>
      </c>
      <c r="G7" s="52">
        <f>F7*D7*36</f>
        <v>50533.91999999999</v>
      </c>
      <c r="H7" s="52">
        <v>0.54</v>
      </c>
      <c r="I7" s="52">
        <f>H7*D7*36</f>
        <v>14362.272</v>
      </c>
      <c r="J7" s="52">
        <v>3.17</v>
      </c>
      <c r="K7" s="52">
        <f>J7*D7*36</f>
        <v>84311.85599999999</v>
      </c>
      <c r="L7" s="35">
        <v>0.13</v>
      </c>
      <c r="M7" s="52">
        <f>L7*D7*36</f>
        <v>3457.584</v>
      </c>
      <c r="N7" s="35">
        <v>0.67</v>
      </c>
      <c r="O7" s="35">
        <f>N7*D7*36</f>
        <v>17819.856</v>
      </c>
      <c r="P7" s="52">
        <f>G7+I7+K7+M7+O7</f>
        <v>170485.48799999998</v>
      </c>
      <c r="Q7" s="53">
        <f>E7-P7</f>
        <v>184108.52127668497</v>
      </c>
    </row>
    <row r="8" spans="1:17" ht="12.75">
      <c r="A8" s="35">
        <v>2</v>
      </c>
      <c r="B8" s="1" t="s">
        <v>389</v>
      </c>
      <c r="C8" s="35" t="s">
        <v>388</v>
      </c>
      <c r="D8" s="50">
        <v>821.5</v>
      </c>
      <c r="E8" s="51">
        <f>E26/D26*D8</f>
        <v>394286.65216675244</v>
      </c>
      <c r="F8" s="35">
        <v>1.9</v>
      </c>
      <c r="G8" s="52">
        <f aca="true" t="shared" si="0" ref="G8:G25">F8*D8*36</f>
        <v>56190.6</v>
      </c>
      <c r="H8" s="52">
        <v>0.6</v>
      </c>
      <c r="I8" s="52">
        <f aca="true" t="shared" si="1" ref="I8:I25">H8*D8*36</f>
        <v>17744.399999999998</v>
      </c>
      <c r="J8" s="52">
        <v>3.17</v>
      </c>
      <c r="K8" s="52">
        <f aca="true" t="shared" si="2" ref="K8:K25">J8*D8*36</f>
        <v>93749.57999999999</v>
      </c>
      <c r="L8" s="35">
        <v>0</v>
      </c>
      <c r="M8" s="52">
        <f aca="true" t="shared" si="3" ref="M8:M25">L8*D8*36</f>
        <v>0</v>
      </c>
      <c r="N8" s="35">
        <v>0</v>
      </c>
      <c r="O8" s="35">
        <f aca="true" t="shared" si="4" ref="O8:O25">N8*D8*36</f>
        <v>0</v>
      </c>
      <c r="P8" s="52">
        <f aca="true" t="shared" si="5" ref="P8:P25">G8+I8+K8+M8+O8</f>
        <v>167684.58</v>
      </c>
      <c r="Q8" s="53">
        <f aca="true" t="shared" si="6" ref="Q8:Q25">E8-P8</f>
        <v>226602.07216675245</v>
      </c>
    </row>
    <row r="9" spans="1:17" ht="12.75">
      <c r="A9" s="35">
        <v>3</v>
      </c>
      <c r="B9" s="1" t="s">
        <v>390</v>
      </c>
      <c r="C9" s="35" t="s">
        <v>388</v>
      </c>
      <c r="D9" s="50">
        <v>2105.6</v>
      </c>
      <c r="E9" s="51">
        <f>E26/D26*D9</f>
        <v>1010602.5256266755</v>
      </c>
      <c r="F9" s="35">
        <v>1.9</v>
      </c>
      <c r="G9" s="52">
        <f t="shared" si="0"/>
        <v>144023.03999999998</v>
      </c>
      <c r="H9" s="52">
        <v>0.32</v>
      </c>
      <c r="I9" s="52">
        <f t="shared" si="1"/>
        <v>24256.512000000002</v>
      </c>
      <c r="J9" s="52">
        <v>3.17</v>
      </c>
      <c r="K9" s="52">
        <f t="shared" si="2"/>
        <v>240291.072</v>
      </c>
      <c r="L9" s="35">
        <v>0.13</v>
      </c>
      <c r="M9" s="52">
        <f t="shared" si="3"/>
        <v>9854.208</v>
      </c>
      <c r="N9" s="35">
        <v>0.67</v>
      </c>
      <c r="O9" s="35">
        <f t="shared" si="4"/>
        <v>50787.072</v>
      </c>
      <c r="P9" s="52">
        <f t="shared" si="5"/>
        <v>469211.9039999999</v>
      </c>
      <c r="Q9" s="53">
        <f t="shared" si="6"/>
        <v>541390.6216266756</v>
      </c>
    </row>
    <row r="10" spans="1:17" ht="12.75">
      <c r="A10" s="35">
        <v>4</v>
      </c>
      <c r="B10" s="1" t="s">
        <v>391</v>
      </c>
      <c r="C10" s="35" t="s">
        <v>388</v>
      </c>
      <c r="D10" s="50">
        <v>1711.7</v>
      </c>
      <c r="E10" s="51">
        <f>E26/D26*D10</f>
        <v>821546.5155372248</v>
      </c>
      <c r="F10" s="35">
        <v>1.9</v>
      </c>
      <c r="G10" s="52">
        <f t="shared" si="0"/>
        <v>117080.28</v>
      </c>
      <c r="H10" s="52">
        <v>0.24</v>
      </c>
      <c r="I10" s="52">
        <f t="shared" si="1"/>
        <v>14789.088</v>
      </c>
      <c r="J10" s="52">
        <v>3.17</v>
      </c>
      <c r="K10" s="52">
        <f t="shared" si="2"/>
        <v>195339.204</v>
      </c>
      <c r="L10" s="35">
        <v>0</v>
      </c>
      <c r="M10" s="35">
        <f t="shared" si="3"/>
        <v>0</v>
      </c>
      <c r="N10" s="35">
        <v>0</v>
      </c>
      <c r="O10" s="35">
        <f t="shared" si="4"/>
        <v>0</v>
      </c>
      <c r="P10" s="52">
        <f t="shared" si="5"/>
        <v>327208.572</v>
      </c>
      <c r="Q10" s="53">
        <f t="shared" si="6"/>
        <v>494337.94353722484</v>
      </c>
    </row>
    <row r="11" spans="1:17" ht="12.75">
      <c r="A11" s="35">
        <v>5</v>
      </c>
      <c r="B11" s="1" t="s">
        <v>392</v>
      </c>
      <c r="C11" s="35" t="s">
        <v>388</v>
      </c>
      <c r="D11" s="50">
        <v>932.7</v>
      </c>
      <c r="E11" s="51">
        <f>E26/D26*D11</f>
        <v>447658.13813259895</v>
      </c>
      <c r="F11" s="35">
        <v>1.9</v>
      </c>
      <c r="G11" s="52">
        <f t="shared" si="0"/>
        <v>63796.68000000001</v>
      </c>
      <c r="H11" s="52">
        <v>0.3</v>
      </c>
      <c r="I11" s="52">
        <f t="shared" si="1"/>
        <v>10073.16</v>
      </c>
      <c r="J11" s="52">
        <v>3.17</v>
      </c>
      <c r="K11" s="52">
        <f t="shared" si="2"/>
        <v>106439.724</v>
      </c>
      <c r="L11" s="35">
        <v>0</v>
      </c>
      <c r="M11" s="35">
        <f t="shared" si="3"/>
        <v>0</v>
      </c>
      <c r="N11" s="35">
        <v>0</v>
      </c>
      <c r="O11" s="35">
        <f t="shared" si="4"/>
        <v>0</v>
      </c>
      <c r="P11" s="52">
        <f t="shared" si="5"/>
        <v>180309.564</v>
      </c>
      <c r="Q11" s="53">
        <f t="shared" si="6"/>
        <v>267348.57413259894</v>
      </c>
    </row>
    <row r="12" spans="1:17" ht="12.75">
      <c r="A12" s="35">
        <v>6</v>
      </c>
      <c r="B12" s="1" t="s">
        <v>393</v>
      </c>
      <c r="C12" s="35" t="s">
        <v>388</v>
      </c>
      <c r="D12" s="50">
        <v>1450.04</v>
      </c>
      <c r="E12" s="51">
        <f>E26/D26*D12</f>
        <v>695960.3373193885</v>
      </c>
      <c r="F12" s="35">
        <v>1.9</v>
      </c>
      <c r="G12" s="52">
        <f t="shared" si="0"/>
        <v>99182.736</v>
      </c>
      <c r="H12" s="52">
        <v>0.27</v>
      </c>
      <c r="I12" s="52">
        <f t="shared" si="1"/>
        <v>14094.3888</v>
      </c>
      <c r="J12" s="52">
        <v>3.17</v>
      </c>
      <c r="K12" s="52">
        <f t="shared" si="2"/>
        <v>165478.5648</v>
      </c>
      <c r="L12" s="35">
        <v>0</v>
      </c>
      <c r="M12" s="35">
        <f t="shared" si="3"/>
        <v>0</v>
      </c>
      <c r="N12" s="35">
        <v>0</v>
      </c>
      <c r="O12" s="35">
        <f t="shared" si="4"/>
        <v>0</v>
      </c>
      <c r="P12" s="52">
        <f t="shared" si="5"/>
        <v>278755.6896</v>
      </c>
      <c r="Q12" s="53">
        <f t="shared" si="6"/>
        <v>417204.64771938854</v>
      </c>
    </row>
    <row r="13" spans="1:17" ht="12.75">
      <c r="A13" s="35">
        <v>7</v>
      </c>
      <c r="B13" s="1" t="s">
        <v>394</v>
      </c>
      <c r="C13" s="35" t="s">
        <v>388</v>
      </c>
      <c r="D13" s="50">
        <v>1351.9</v>
      </c>
      <c r="E13" s="51">
        <f>E26/D26*D13</f>
        <v>648857.1211980921</v>
      </c>
      <c r="F13" s="35">
        <v>1.9</v>
      </c>
      <c r="G13" s="52">
        <f t="shared" si="0"/>
        <v>92469.96</v>
      </c>
      <c r="H13" s="52">
        <v>0.31</v>
      </c>
      <c r="I13" s="52">
        <f t="shared" si="1"/>
        <v>15087.204</v>
      </c>
      <c r="J13" s="52">
        <v>3.17</v>
      </c>
      <c r="K13" s="52">
        <f t="shared" si="2"/>
        <v>154278.828</v>
      </c>
      <c r="L13" s="35">
        <v>0</v>
      </c>
      <c r="M13" s="35">
        <f t="shared" si="3"/>
        <v>0</v>
      </c>
      <c r="N13" s="35">
        <v>0</v>
      </c>
      <c r="O13" s="35">
        <f t="shared" si="4"/>
        <v>0</v>
      </c>
      <c r="P13" s="52">
        <f t="shared" si="5"/>
        <v>261835.99200000003</v>
      </c>
      <c r="Q13" s="53">
        <f t="shared" si="6"/>
        <v>387021.1291980921</v>
      </c>
    </row>
    <row r="14" spans="1:17" ht="12.75">
      <c r="A14" s="35">
        <v>8</v>
      </c>
      <c r="B14" s="1" t="s">
        <v>395</v>
      </c>
      <c r="C14" s="35" t="s">
        <v>388</v>
      </c>
      <c r="D14" s="50">
        <v>1147.5</v>
      </c>
      <c r="E14" s="51">
        <f>E26/D26*D14</f>
        <v>550753.4185774175</v>
      </c>
      <c r="F14" s="35">
        <v>1.9</v>
      </c>
      <c r="G14" s="52">
        <f t="shared" si="0"/>
        <v>78489</v>
      </c>
      <c r="H14" s="52">
        <v>0.35</v>
      </c>
      <c r="I14" s="52">
        <f t="shared" si="1"/>
        <v>14458.5</v>
      </c>
      <c r="J14" s="52">
        <v>3.17</v>
      </c>
      <c r="K14" s="52">
        <f t="shared" si="2"/>
        <v>130952.7</v>
      </c>
      <c r="L14" s="35">
        <v>0</v>
      </c>
      <c r="M14" s="35">
        <f t="shared" si="3"/>
        <v>0</v>
      </c>
      <c r="N14" s="35">
        <v>0</v>
      </c>
      <c r="O14" s="35">
        <f t="shared" si="4"/>
        <v>0</v>
      </c>
      <c r="P14" s="52">
        <f t="shared" si="5"/>
        <v>223900.2</v>
      </c>
      <c r="Q14" s="53">
        <f t="shared" si="6"/>
        <v>326853.2185774175</v>
      </c>
    </row>
    <row r="15" spans="1:17" ht="12.75">
      <c r="A15" s="35">
        <v>9</v>
      </c>
      <c r="B15" s="1" t="s">
        <v>396</v>
      </c>
      <c r="C15" s="35" t="s">
        <v>388</v>
      </c>
      <c r="D15" s="50">
        <v>1350.7</v>
      </c>
      <c r="E15" s="51">
        <f>E26/D26*D15</f>
        <v>648281.1699106909</v>
      </c>
      <c r="F15" s="35">
        <v>1.9</v>
      </c>
      <c r="G15" s="52">
        <f t="shared" si="0"/>
        <v>92387.88</v>
      </c>
      <c r="H15" s="52">
        <v>0.19</v>
      </c>
      <c r="I15" s="52">
        <f t="shared" si="1"/>
        <v>9238.788</v>
      </c>
      <c r="J15" s="52">
        <v>3.17</v>
      </c>
      <c r="K15" s="52">
        <f t="shared" si="2"/>
        <v>154141.884</v>
      </c>
      <c r="L15" s="35">
        <v>0</v>
      </c>
      <c r="M15" s="35">
        <f t="shared" si="3"/>
        <v>0</v>
      </c>
      <c r="N15" s="35">
        <v>0</v>
      </c>
      <c r="O15" s="35">
        <f t="shared" si="4"/>
        <v>0</v>
      </c>
      <c r="P15" s="52">
        <f t="shared" si="5"/>
        <v>255768.552</v>
      </c>
      <c r="Q15" s="53">
        <f t="shared" si="6"/>
        <v>392512.61791069084</v>
      </c>
    </row>
    <row r="16" spans="1:17" ht="12.75">
      <c r="A16" s="35">
        <v>10</v>
      </c>
      <c r="B16" s="1" t="s">
        <v>397</v>
      </c>
      <c r="C16" s="1" t="s">
        <v>388</v>
      </c>
      <c r="D16" s="50">
        <v>360.7</v>
      </c>
      <c r="E16" s="51">
        <f>E26/D26*D16</f>
        <v>173121.35780468362</v>
      </c>
      <c r="F16" s="35">
        <v>1.9</v>
      </c>
      <c r="G16" s="52">
        <f t="shared" si="0"/>
        <v>24671.879999999997</v>
      </c>
      <c r="H16" s="52">
        <v>0.7</v>
      </c>
      <c r="I16" s="52">
        <f t="shared" si="1"/>
        <v>9089.64</v>
      </c>
      <c r="J16" s="52">
        <v>3.17</v>
      </c>
      <c r="K16" s="52">
        <f t="shared" si="2"/>
        <v>41163.083999999995</v>
      </c>
      <c r="L16" s="35">
        <v>0</v>
      </c>
      <c r="M16" s="35">
        <f t="shared" si="3"/>
        <v>0</v>
      </c>
      <c r="N16" s="35">
        <v>0</v>
      </c>
      <c r="O16" s="35">
        <f t="shared" si="4"/>
        <v>0</v>
      </c>
      <c r="P16" s="52">
        <f t="shared" si="5"/>
        <v>74924.60399999999</v>
      </c>
      <c r="Q16" s="53">
        <f t="shared" si="6"/>
        <v>98196.75380468363</v>
      </c>
    </row>
    <row r="17" spans="1:17" ht="12.75">
      <c r="A17" s="35">
        <v>11</v>
      </c>
      <c r="B17" s="1" t="s">
        <v>398</v>
      </c>
      <c r="C17" s="35" t="s">
        <v>388</v>
      </c>
      <c r="D17" s="50">
        <v>1060.8</v>
      </c>
      <c r="E17" s="51">
        <f>E26/D26*D17</f>
        <v>509140.9380626792</v>
      </c>
      <c r="F17" s="35">
        <v>1.9</v>
      </c>
      <c r="G17" s="52">
        <f t="shared" si="0"/>
        <v>72558.71999999999</v>
      </c>
      <c r="H17" s="52">
        <v>0.38</v>
      </c>
      <c r="I17" s="52">
        <f t="shared" si="1"/>
        <v>14511.743999999999</v>
      </c>
      <c r="J17" s="52">
        <v>3.17</v>
      </c>
      <c r="K17" s="52">
        <f t="shared" si="2"/>
        <v>121058.496</v>
      </c>
      <c r="L17" s="35">
        <v>0</v>
      </c>
      <c r="M17" s="35">
        <f t="shared" si="3"/>
        <v>0</v>
      </c>
      <c r="N17" s="35">
        <v>0</v>
      </c>
      <c r="O17" s="35">
        <f t="shared" si="4"/>
        <v>0</v>
      </c>
      <c r="P17" s="52">
        <f t="shared" si="5"/>
        <v>208128.95999999996</v>
      </c>
      <c r="Q17" s="53">
        <f t="shared" si="6"/>
        <v>301011.97806267923</v>
      </c>
    </row>
    <row r="18" spans="1:17" ht="12.75">
      <c r="A18" s="35">
        <v>12</v>
      </c>
      <c r="B18" s="1" t="s">
        <v>399</v>
      </c>
      <c r="C18" s="35" t="s">
        <v>388</v>
      </c>
      <c r="D18" s="50">
        <v>1448.1</v>
      </c>
      <c r="E18" s="51">
        <f>E26/D26*D18</f>
        <v>695029.2160714233</v>
      </c>
      <c r="F18" s="35">
        <v>1.9</v>
      </c>
      <c r="G18" s="52">
        <f t="shared" si="0"/>
        <v>99050.04</v>
      </c>
      <c r="H18" s="52">
        <v>0.33</v>
      </c>
      <c r="I18" s="52">
        <f t="shared" si="1"/>
        <v>17203.428</v>
      </c>
      <c r="J18" s="52">
        <v>3.17</v>
      </c>
      <c r="K18" s="52">
        <f t="shared" si="2"/>
        <v>165257.172</v>
      </c>
      <c r="L18" s="35">
        <v>0</v>
      </c>
      <c r="M18" s="35">
        <f t="shared" si="3"/>
        <v>0</v>
      </c>
      <c r="N18" s="35">
        <v>0</v>
      </c>
      <c r="O18" s="35">
        <f t="shared" si="4"/>
        <v>0</v>
      </c>
      <c r="P18" s="52">
        <f t="shared" si="5"/>
        <v>281510.64</v>
      </c>
      <c r="Q18" s="53">
        <f t="shared" si="6"/>
        <v>413518.57607142325</v>
      </c>
    </row>
    <row r="19" spans="1:17" ht="12.75">
      <c r="A19" s="35">
        <v>13</v>
      </c>
      <c r="B19" s="1" t="s">
        <v>400</v>
      </c>
      <c r="C19" s="35" t="s">
        <v>388</v>
      </c>
      <c r="D19" s="50">
        <v>1080.4</v>
      </c>
      <c r="E19" s="51">
        <f>E26/D26*D19</f>
        <v>518548.1424235659</v>
      </c>
      <c r="F19" s="35">
        <v>1.9</v>
      </c>
      <c r="G19" s="52">
        <f t="shared" si="0"/>
        <v>73899.36000000002</v>
      </c>
      <c r="H19" s="52">
        <v>0.32</v>
      </c>
      <c r="I19" s="52">
        <f t="shared" si="1"/>
        <v>12446.208</v>
      </c>
      <c r="J19" s="52">
        <v>3.17</v>
      </c>
      <c r="K19" s="52">
        <f t="shared" si="2"/>
        <v>123295.24800000002</v>
      </c>
      <c r="L19" s="35">
        <v>0</v>
      </c>
      <c r="M19" s="35">
        <f t="shared" si="3"/>
        <v>0</v>
      </c>
      <c r="N19" s="35">
        <v>0</v>
      </c>
      <c r="O19" s="35">
        <f t="shared" si="4"/>
        <v>0</v>
      </c>
      <c r="P19" s="52">
        <f t="shared" si="5"/>
        <v>209640.81600000005</v>
      </c>
      <c r="Q19" s="53">
        <f t="shared" si="6"/>
        <v>308907.32642356586</v>
      </c>
    </row>
    <row r="20" spans="1:17" ht="12.75">
      <c r="A20" s="35">
        <v>14</v>
      </c>
      <c r="B20" s="1" t="s">
        <v>401</v>
      </c>
      <c r="C20" s="35" t="s">
        <v>388</v>
      </c>
      <c r="D20" s="50">
        <v>474.5</v>
      </c>
      <c r="E20" s="51">
        <f>E26/D26*D20</f>
        <v>227740.73822656609</v>
      </c>
      <c r="F20" s="35">
        <v>1.9</v>
      </c>
      <c r="G20" s="52">
        <f t="shared" si="0"/>
        <v>32455.8</v>
      </c>
      <c r="H20" s="52">
        <v>0.47</v>
      </c>
      <c r="I20" s="52">
        <f t="shared" si="1"/>
        <v>8028.539999999999</v>
      </c>
      <c r="J20" s="52">
        <v>3.17</v>
      </c>
      <c r="K20" s="52">
        <f t="shared" si="2"/>
        <v>54149.94</v>
      </c>
      <c r="L20" s="35">
        <v>0</v>
      </c>
      <c r="M20" s="35">
        <f t="shared" si="3"/>
        <v>0</v>
      </c>
      <c r="N20" s="35">
        <v>0</v>
      </c>
      <c r="O20" s="35">
        <f t="shared" si="4"/>
        <v>0</v>
      </c>
      <c r="P20" s="52">
        <f t="shared" si="5"/>
        <v>94634.28</v>
      </c>
      <c r="Q20" s="53">
        <f t="shared" si="6"/>
        <v>133106.4582265661</v>
      </c>
    </row>
    <row r="21" spans="1:17" ht="12.75">
      <c r="A21" s="35">
        <v>15</v>
      </c>
      <c r="B21" s="1" t="s">
        <v>402</v>
      </c>
      <c r="C21" s="35" t="s">
        <v>403</v>
      </c>
      <c r="D21" s="50">
        <v>475.7</v>
      </c>
      <c r="E21" s="51">
        <f>E26/D26*D21</f>
        <v>228316.68951396729</v>
      </c>
      <c r="F21" s="35">
        <v>1.9</v>
      </c>
      <c r="G21" s="52">
        <f t="shared" si="0"/>
        <v>32537.879999999997</v>
      </c>
      <c r="H21" s="52">
        <v>0.27</v>
      </c>
      <c r="I21" s="52">
        <f t="shared" si="1"/>
        <v>4623.804</v>
      </c>
      <c r="J21" s="52">
        <v>3.17</v>
      </c>
      <c r="K21" s="52">
        <f t="shared" si="2"/>
        <v>54286.88399999999</v>
      </c>
      <c r="L21" s="35">
        <v>0</v>
      </c>
      <c r="M21" s="35">
        <f t="shared" si="3"/>
        <v>0</v>
      </c>
      <c r="N21" s="35">
        <v>0</v>
      </c>
      <c r="O21" s="35">
        <f t="shared" si="4"/>
        <v>0</v>
      </c>
      <c r="P21" s="52">
        <f t="shared" si="5"/>
        <v>91448.56799999998</v>
      </c>
      <c r="Q21" s="53">
        <f t="shared" si="6"/>
        <v>136868.1215139673</v>
      </c>
    </row>
    <row r="22" spans="1:17" ht="12.75">
      <c r="A22" s="35">
        <v>16</v>
      </c>
      <c r="B22" s="1" t="s">
        <v>404</v>
      </c>
      <c r="C22" s="35" t="s">
        <v>388</v>
      </c>
      <c r="D22" s="50">
        <v>1121.1</v>
      </c>
      <c r="E22" s="51">
        <f>E26/D26*D22</f>
        <v>538082.4902545905</v>
      </c>
      <c r="F22" s="35">
        <v>1.9</v>
      </c>
      <c r="G22" s="52">
        <f t="shared" si="0"/>
        <v>76683.23999999999</v>
      </c>
      <c r="H22" s="52">
        <v>0.38</v>
      </c>
      <c r="I22" s="52">
        <f t="shared" si="1"/>
        <v>15336.648</v>
      </c>
      <c r="J22" s="52">
        <v>3.17</v>
      </c>
      <c r="K22" s="52">
        <f t="shared" si="2"/>
        <v>127939.93199999999</v>
      </c>
      <c r="L22" s="35">
        <v>0</v>
      </c>
      <c r="M22" s="35">
        <f t="shared" si="3"/>
        <v>0</v>
      </c>
      <c r="N22" s="35">
        <v>0</v>
      </c>
      <c r="O22" s="35">
        <f t="shared" si="4"/>
        <v>0</v>
      </c>
      <c r="P22" s="52">
        <f t="shared" si="5"/>
        <v>219959.81999999998</v>
      </c>
      <c r="Q22" s="53">
        <f t="shared" si="6"/>
        <v>318122.6702545906</v>
      </c>
    </row>
    <row r="23" spans="1:17" ht="12.75">
      <c r="A23" s="35">
        <v>17</v>
      </c>
      <c r="B23" s="1" t="s">
        <v>405</v>
      </c>
      <c r="C23" s="35" t="s">
        <v>388</v>
      </c>
      <c r="D23" s="50">
        <v>821.6</v>
      </c>
      <c r="E23" s="51">
        <f>E26/D26*D23</f>
        <v>394334.64810736926</v>
      </c>
      <c r="F23" s="35">
        <v>1.9</v>
      </c>
      <c r="G23" s="52">
        <f t="shared" si="0"/>
        <v>56197.44</v>
      </c>
      <c r="H23" s="52">
        <v>0.48</v>
      </c>
      <c r="I23" s="52">
        <f t="shared" si="1"/>
        <v>14197.248</v>
      </c>
      <c r="J23" s="52">
        <v>3.17</v>
      </c>
      <c r="K23" s="52">
        <f t="shared" si="2"/>
        <v>93760.99200000001</v>
      </c>
      <c r="L23" s="35">
        <v>0</v>
      </c>
      <c r="M23" s="35">
        <f t="shared" si="3"/>
        <v>0</v>
      </c>
      <c r="N23" s="35">
        <v>0</v>
      </c>
      <c r="O23" s="35">
        <f t="shared" si="4"/>
        <v>0</v>
      </c>
      <c r="P23" s="52">
        <f t="shared" si="5"/>
        <v>164155.68</v>
      </c>
      <c r="Q23" s="53">
        <f t="shared" si="6"/>
        <v>230178.96810736926</v>
      </c>
    </row>
    <row r="24" spans="1:17" ht="12.75">
      <c r="A24" s="35">
        <v>18</v>
      </c>
      <c r="B24" s="1" t="s">
        <v>406</v>
      </c>
      <c r="C24" s="35" t="s">
        <v>388</v>
      </c>
      <c r="D24" s="50">
        <v>1047.6</v>
      </c>
      <c r="E24" s="51">
        <f>E26/D26*D24</f>
        <v>502805.47390126577</v>
      </c>
      <c r="F24" s="35">
        <v>1.9</v>
      </c>
      <c r="G24" s="52">
        <f t="shared" si="0"/>
        <v>71655.84</v>
      </c>
      <c r="H24" s="52">
        <v>0.38</v>
      </c>
      <c r="I24" s="52">
        <f t="shared" si="1"/>
        <v>14331.167999999998</v>
      </c>
      <c r="J24" s="52">
        <v>3.17</v>
      </c>
      <c r="K24" s="52">
        <f t="shared" si="2"/>
        <v>119552.112</v>
      </c>
      <c r="L24" s="35">
        <v>0</v>
      </c>
      <c r="M24" s="35">
        <f t="shared" si="3"/>
        <v>0</v>
      </c>
      <c r="N24" s="35">
        <v>0</v>
      </c>
      <c r="O24" s="35">
        <f t="shared" si="4"/>
        <v>0</v>
      </c>
      <c r="P24" s="52">
        <f t="shared" si="5"/>
        <v>205539.12</v>
      </c>
      <c r="Q24" s="53">
        <f t="shared" si="6"/>
        <v>297266.3539012658</v>
      </c>
    </row>
    <row r="25" spans="1:17" ht="12.75">
      <c r="A25" s="35">
        <v>19</v>
      </c>
      <c r="B25" s="1" t="s">
        <v>407</v>
      </c>
      <c r="C25" s="35" t="s">
        <v>388</v>
      </c>
      <c r="D25" s="50">
        <v>293.2</v>
      </c>
      <c r="E25" s="51">
        <f>E26/D26*D25</f>
        <v>140724.09788836495</v>
      </c>
      <c r="F25" s="35">
        <v>1.9</v>
      </c>
      <c r="G25" s="52">
        <f t="shared" si="0"/>
        <v>20054.879999999997</v>
      </c>
      <c r="H25" s="52">
        <v>0.45</v>
      </c>
      <c r="I25" s="52">
        <f t="shared" si="1"/>
        <v>4749.84</v>
      </c>
      <c r="J25" s="52">
        <v>3.17</v>
      </c>
      <c r="K25" s="52">
        <f t="shared" si="2"/>
        <v>33459.984</v>
      </c>
      <c r="L25" s="35">
        <v>0</v>
      </c>
      <c r="M25" s="35">
        <f t="shared" si="3"/>
        <v>0</v>
      </c>
      <c r="N25" s="35">
        <v>0</v>
      </c>
      <c r="O25" s="35">
        <f t="shared" si="4"/>
        <v>0</v>
      </c>
      <c r="P25" s="52">
        <f t="shared" si="5"/>
        <v>58264.704</v>
      </c>
      <c r="Q25" s="53">
        <f t="shared" si="6"/>
        <v>82459.39388836495</v>
      </c>
    </row>
    <row r="26" spans="1:17" ht="15.75">
      <c r="A26" s="35"/>
      <c r="B26" s="54" t="s">
        <v>408</v>
      </c>
      <c r="C26" s="35"/>
      <c r="D26" s="55">
        <f>SUM(D7:D25)</f>
        <v>19794.139999999996</v>
      </c>
      <c r="E26" s="56">
        <v>9500383.68</v>
      </c>
      <c r="F26" s="35"/>
      <c r="G26" s="57">
        <f>SUM(G7:G25)</f>
        <v>1353919.1759999997</v>
      </c>
      <c r="H26" s="35"/>
      <c r="I26" s="58">
        <f>SUM(I7:I25)</f>
        <v>248622.58080000005</v>
      </c>
      <c r="J26" s="35"/>
      <c r="K26" s="59">
        <f>SUM(K7:K25)</f>
        <v>2258907.2568000006</v>
      </c>
      <c r="L26" s="35"/>
      <c r="M26" s="59">
        <f>SUM(M7:M25)</f>
        <v>13311.792000000001</v>
      </c>
      <c r="N26" s="35"/>
      <c r="O26" s="59">
        <f>SUM(O7:O25)</f>
        <v>68606.928</v>
      </c>
      <c r="P26" s="60">
        <f>SUM(P7:P25)</f>
        <v>3943367.7335999995</v>
      </c>
      <c r="Q26" s="60">
        <f>SUM(Q7:Q25)</f>
        <v>5557015.946400002</v>
      </c>
    </row>
    <row r="27" spans="5:17" ht="12.75">
      <c r="E27" s="28" t="s">
        <v>409</v>
      </c>
      <c r="F27" s="28"/>
      <c r="Q27" s="99" t="s">
        <v>410</v>
      </c>
    </row>
    <row r="30" spans="1:4" ht="15">
      <c r="A30" s="222" t="s">
        <v>367</v>
      </c>
      <c r="B30" s="222"/>
      <c r="C30" s="222"/>
      <c r="D30" s="222"/>
    </row>
    <row r="31" spans="2:12" ht="15">
      <c r="B31" s="97" t="s">
        <v>422</v>
      </c>
      <c r="C31" s="97"/>
      <c r="D31" s="97"/>
      <c r="I31" s="223" t="s">
        <v>411</v>
      </c>
      <c r="J31" s="224"/>
      <c r="K31" s="224"/>
      <c r="L31" s="224"/>
    </row>
    <row r="32" spans="1:19" ht="12.75">
      <c r="A32" s="37" t="s">
        <v>369</v>
      </c>
      <c r="B32" s="37" t="s">
        <v>370</v>
      </c>
      <c r="C32" s="37" t="s">
        <v>371</v>
      </c>
      <c r="D32" s="37" t="s">
        <v>372</v>
      </c>
      <c r="E32" s="61" t="s">
        <v>373</v>
      </c>
      <c r="F32" s="62" t="s">
        <v>374</v>
      </c>
      <c r="G32" s="62" t="s">
        <v>375</v>
      </c>
      <c r="H32" s="63" t="s">
        <v>376</v>
      </c>
      <c r="I32" s="63" t="s">
        <v>375</v>
      </c>
      <c r="J32" s="64" t="s">
        <v>377</v>
      </c>
      <c r="K32" s="64" t="s">
        <v>375</v>
      </c>
      <c r="L32" s="65" t="s">
        <v>378</v>
      </c>
      <c r="M32" s="65" t="s">
        <v>375</v>
      </c>
      <c r="N32" s="29" t="s">
        <v>379</v>
      </c>
      <c r="O32" s="29" t="s">
        <v>375</v>
      </c>
      <c r="P32" s="66" t="s">
        <v>412</v>
      </c>
      <c r="Q32" s="66" t="s">
        <v>375</v>
      </c>
      <c r="R32" s="37"/>
      <c r="S32" s="46" t="s">
        <v>366</v>
      </c>
    </row>
    <row r="33" spans="1:19" ht="12.75">
      <c r="A33" s="47"/>
      <c r="B33" s="47"/>
      <c r="C33" s="47"/>
      <c r="D33" s="47"/>
      <c r="E33" s="67">
        <v>43070</v>
      </c>
      <c r="F33" s="68"/>
      <c r="G33" s="69">
        <v>43070</v>
      </c>
      <c r="H33" s="70"/>
      <c r="I33" s="71">
        <v>43070</v>
      </c>
      <c r="J33" s="72"/>
      <c r="K33" s="73">
        <v>43070</v>
      </c>
      <c r="L33" s="74" t="s">
        <v>382</v>
      </c>
      <c r="M33" s="75">
        <v>43070</v>
      </c>
      <c r="N33" s="76"/>
      <c r="O33" s="77">
        <v>43070</v>
      </c>
      <c r="P33" s="78" t="s">
        <v>413</v>
      </c>
      <c r="Q33" s="79">
        <v>43070</v>
      </c>
      <c r="R33" s="47"/>
      <c r="S33" s="48" t="s">
        <v>383</v>
      </c>
    </row>
    <row r="34" spans="1:19" ht="15.75">
      <c r="A34" s="47"/>
      <c r="B34" s="47"/>
      <c r="C34" s="47"/>
      <c r="D34" s="47"/>
      <c r="E34" s="67">
        <v>43405</v>
      </c>
      <c r="F34" s="68"/>
      <c r="G34" s="69">
        <v>43405</v>
      </c>
      <c r="H34" s="70"/>
      <c r="I34" s="71">
        <v>43405</v>
      </c>
      <c r="J34" s="72"/>
      <c r="K34" s="73">
        <v>43405</v>
      </c>
      <c r="L34" s="74"/>
      <c r="M34" s="75">
        <v>43405</v>
      </c>
      <c r="N34" s="76"/>
      <c r="O34" s="77">
        <v>43405</v>
      </c>
      <c r="P34" s="78"/>
      <c r="Q34" s="79">
        <v>43405</v>
      </c>
      <c r="R34" s="80" t="s">
        <v>384</v>
      </c>
      <c r="S34" s="48" t="s">
        <v>385</v>
      </c>
    </row>
    <row r="35" spans="1:19" ht="33" customHeight="1">
      <c r="A35" s="38"/>
      <c r="B35" s="38"/>
      <c r="C35" s="38"/>
      <c r="D35" s="38"/>
      <c r="E35" s="38"/>
      <c r="F35" s="81"/>
      <c r="G35" s="82" t="s">
        <v>414</v>
      </c>
      <c r="H35" s="83"/>
      <c r="I35" s="83" t="s">
        <v>415</v>
      </c>
      <c r="J35" s="84"/>
      <c r="K35" s="85" t="s">
        <v>414</v>
      </c>
      <c r="L35" s="86"/>
      <c r="M35" s="87" t="s">
        <v>414</v>
      </c>
      <c r="N35" s="88"/>
      <c r="O35" s="4" t="s">
        <v>414</v>
      </c>
      <c r="P35" s="89"/>
      <c r="Q35" s="90" t="s">
        <v>416</v>
      </c>
      <c r="R35" s="38"/>
      <c r="S35" s="91" t="s">
        <v>417</v>
      </c>
    </row>
    <row r="36" spans="1:19" ht="12.75">
      <c r="A36" s="35">
        <v>8</v>
      </c>
      <c r="B36" s="1" t="s">
        <v>387</v>
      </c>
      <c r="C36" s="35" t="s">
        <v>388</v>
      </c>
      <c r="D36" s="50">
        <v>738.8</v>
      </c>
      <c r="E36" s="51">
        <f>E55/D55*D36</f>
        <v>116700.57686224309</v>
      </c>
      <c r="F36" s="35" t="s">
        <v>418</v>
      </c>
      <c r="G36" s="52">
        <f>(D36*1.78*7)+(D36*3*5)</f>
        <v>20287.447999999997</v>
      </c>
      <c r="H36" s="52">
        <v>0.54</v>
      </c>
      <c r="I36" s="52">
        <f>H36*D36*12</f>
        <v>4787.424</v>
      </c>
      <c r="J36" s="52" t="s">
        <v>419</v>
      </c>
      <c r="K36" s="52">
        <f>D36*3.17*7+D36*3.3*5</f>
        <v>28584.171999999995</v>
      </c>
      <c r="L36" s="35" t="s">
        <v>420</v>
      </c>
      <c r="M36" s="52">
        <f>D36*0.13*7+D36*0.46*5</f>
        <v>2371.548</v>
      </c>
      <c r="N36" s="35" t="s">
        <v>421</v>
      </c>
      <c r="O36" s="35">
        <f>D36*0.71*7+D36*0.74*5</f>
        <v>6405.395999999999</v>
      </c>
      <c r="P36" s="35">
        <v>1.24</v>
      </c>
      <c r="Q36" s="35">
        <f>D36*P36*5</f>
        <v>4580.5599999999995</v>
      </c>
      <c r="R36" s="52">
        <f>G36+I36+K36+M36+O36+Q36</f>
        <v>67016.548</v>
      </c>
      <c r="S36" s="53">
        <f aca="true" t="shared" si="7" ref="S36:S54">E36-R36</f>
        <v>49684.028862243096</v>
      </c>
    </row>
    <row r="37" spans="1:19" ht="12.75">
      <c r="A37" s="35">
        <v>9</v>
      </c>
      <c r="B37" s="1" t="s">
        <v>389</v>
      </c>
      <c r="C37" s="35" t="s">
        <v>388</v>
      </c>
      <c r="D37" s="50">
        <v>821.5</v>
      </c>
      <c r="E37" s="51">
        <f>E55/D55*D37</f>
        <v>129763.8385115494</v>
      </c>
      <c r="F37" s="35" t="s">
        <v>418</v>
      </c>
      <c r="G37" s="52">
        <f aca="true" t="shared" si="8" ref="G37:G54">(D37*1.78*7)+(D37*3*5)</f>
        <v>22558.39</v>
      </c>
      <c r="H37" s="52">
        <v>0.6</v>
      </c>
      <c r="I37" s="52">
        <f aca="true" t="shared" si="9" ref="I37:I54">H37*D37*12</f>
        <v>5914.799999999999</v>
      </c>
      <c r="J37" s="52" t="s">
        <v>419</v>
      </c>
      <c r="K37" s="52">
        <f aca="true" t="shared" si="10" ref="K37:K54">D37*3.17*7+D37*3.3*5</f>
        <v>31783.835</v>
      </c>
      <c r="L37" s="35">
        <v>0</v>
      </c>
      <c r="M37" s="52">
        <f aca="true" t="shared" si="11" ref="M37:M54">L37*D37*36</f>
        <v>0</v>
      </c>
      <c r="N37" s="35">
        <v>0</v>
      </c>
      <c r="O37" s="35">
        <f aca="true" t="shared" si="12" ref="O37:O54">N37*D37*36</f>
        <v>0</v>
      </c>
      <c r="P37" s="35">
        <v>1.24</v>
      </c>
      <c r="Q37" s="35">
        <f aca="true" t="shared" si="13" ref="Q37:Q54">D37*P37*5</f>
        <v>5093.3</v>
      </c>
      <c r="R37" s="52">
        <f aca="true" t="shared" si="14" ref="R37:R54">G37+I37+K37+M37+O37+Q37</f>
        <v>65350.325</v>
      </c>
      <c r="S37" s="53">
        <f t="shared" si="7"/>
        <v>64413.513511549405</v>
      </c>
    </row>
    <row r="38" spans="1:19" ht="12.75">
      <c r="A38" s="35">
        <v>10</v>
      </c>
      <c r="B38" s="1" t="s">
        <v>390</v>
      </c>
      <c r="C38" s="35" t="s">
        <v>388</v>
      </c>
      <c r="D38" s="50">
        <v>2105.6</v>
      </c>
      <c r="E38" s="51">
        <f>E55/D55*D38</f>
        <v>332599.80325005285</v>
      </c>
      <c r="F38" s="35" t="s">
        <v>418</v>
      </c>
      <c r="G38" s="52">
        <f t="shared" si="8"/>
        <v>57819.776</v>
      </c>
      <c r="H38" s="52">
        <v>0.32</v>
      </c>
      <c r="I38" s="52">
        <f t="shared" si="9"/>
        <v>8085.504000000001</v>
      </c>
      <c r="J38" s="52" t="s">
        <v>419</v>
      </c>
      <c r="K38" s="52">
        <f t="shared" si="10"/>
        <v>81465.66399999999</v>
      </c>
      <c r="L38" s="35" t="s">
        <v>420</v>
      </c>
      <c r="M38" s="52">
        <f>D38*0.13*7+D38*0.46*5</f>
        <v>6758.976000000001</v>
      </c>
      <c r="N38" s="35" t="s">
        <v>421</v>
      </c>
      <c r="O38" s="35">
        <f>D38*0.71*7+D38*0.74*5</f>
        <v>18255.552</v>
      </c>
      <c r="P38" s="35">
        <v>1.24</v>
      </c>
      <c r="Q38" s="35">
        <f t="shared" si="13"/>
        <v>13054.72</v>
      </c>
      <c r="R38" s="52">
        <f t="shared" si="14"/>
        <v>185440.19199999998</v>
      </c>
      <c r="S38" s="53">
        <f t="shared" si="7"/>
        <v>147159.61125005287</v>
      </c>
    </row>
    <row r="39" spans="1:19" ht="12.75">
      <c r="A39" s="35">
        <v>11</v>
      </c>
      <c r="B39" s="1" t="s">
        <v>391</v>
      </c>
      <c r="C39" s="35" t="s">
        <v>388</v>
      </c>
      <c r="D39" s="50">
        <v>1711.7</v>
      </c>
      <c r="E39" s="51">
        <f>E55/D55*D39</f>
        <v>270379.5038103702</v>
      </c>
      <c r="F39" s="35" t="s">
        <v>418</v>
      </c>
      <c r="G39" s="52">
        <f t="shared" si="8"/>
        <v>47003.282</v>
      </c>
      <c r="H39" s="52">
        <v>0.24</v>
      </c>
      <c r="I39" s="52">
        <f t="shared" si="9"/>
        <v>4929.696</v>
      </c>
      <c r="J39" s="52" t="s">
        <v>419</v>
      </c>
      <c r="K39" s="52">
        <f t="shared" si="10"/>
        <v>66225.673</v>
      </c>
      <c r="L39" s="35">
        <v>0</v>
      </c>
      <c r="M39" s="35">
        <f t="shared" si="11"/>
        <v>0</v>
      </c>
      <c r="N39" s="35">
        <v>0</v>
      </c>
      <c r="O39" s="35">
        <f t="shared" si="12"/>
        <v>0</v>
      </c>
      <c r="P39" s="35">
        <v>1.24</v>
      </c>
      <c r="Q39" s="35">
        <f t="shared" si="13"/>
        <v>10612.54</v>
      </c>
      <c r="R39" s="52">
        <f t="shared" si="14"/>
        <v>128771.19099999999</v>
      </c>
      <c r="S39" s="53">
        <f t="shared" si="7"/>
        <v>141608.31281037023</v>
      </c>
    </row>
    <row r="40" spans="1:19" ht="12.75">
      <c r="A40" s="35">
        <v>12</v>
      </c>
      <c r="B40" s="1" t="s">
        <v>392</v>
      </c>
      <c r="C40" s="35" t="s">
        <v>388</v>
      </c>
      <c r="D40" s="50">
        <v>932.7</v>
      </c>
      <c r="E40" s="51">
        <f>E55/D55*D40</f>
        <v>147328.9497014268</v>
      </c>
      <c r="F40" s="35" t="s">
        <v>418</v>
      </c>
      <c r="G40" s="52">
        <f t="shared" si="8"/>
        <v>25611.942000000003</v>
      </c>
      <c r="H40" s="52">
        <v>0.3</v>
      </c>
      <c r="I40" s="52">
        <f t="shared" si="9"/>
        <v>3357.7200000000003</v>
      </c>
      <c r="J40" s="52" t="s">
        <v>419</v>
      </c>
      <c r="K40" s="52">
        <f t="shared" si="10"/>
        <v>36086.163</v>
      </c>
      <c r="L40" s="35">
        <v>0</v>
      </c>
      <c r="M40" s="35">
        <f t="shared" si="11"/>
        <v>0</v>
      </c>
      <c r="N40" s="35">
        <v>0</v>
      </c>
      <c r="O40" s="35">
        <f t="shared" si="12"/>
        <v>0</v>
      </c>
      <c r="P40" s="35">
        <v>1.24</v>
      </c>
      <c r="Q40" s="35">
        <f t="shared" si="13"/>
        <v>5782.74</v>
      </c>
      <c r="R40" s="52">
        <f t="shared" si="14"/>
        <v>70838.565</v>
      </c>
      <c r="S40" s="53">
        <f t="shared" si="7"/>
        <v>76490.38470142681</v>
      </c>
    </row>
    <row r="41" spans="1:19" ht="12.75">
      <c r="A41" s="35">
        <v>13</v>
      </c>
      <c r="B41" s="1" t="s">
        <v>393</v>
      </c>
      <c r="C41" s="35" t="s">
        <v>388</v>
      </c>
      <c r="D41" s="50">
        <v>1450.04</v>
      </c>
      <c r="E41" s="51">
        <f>E55/D55*D41</f>
        <v>229047.78623893743</v>
      </c>
      <c r="F41" s="35" t="s">
        <v>418</v>
      </c>
      <c r="G41" s="52">
        <f t="shared" si="8"/>
        <v>39818.0984</v>
      </c>
      <c r="H41" s="52">
        <v>0.27</v>
      </c>
      <c r="I41" s="52">
        <f t="shared" si="9"/>
        <v>4698.1296</v>
      </c>
      <c r="J41" s="52" t="s">
        <v>419</v>
      </c>
      <c r="K41" s="52">
        <f t="shared" si="10"/>
        <v>56102.0476</v>
      </c>
      <c r="L41" s="35">
        <v>0</v>
      </c>
      <c r="M41" s="35">
        <f t="shared" si="11"/>
        <v>0</v>
      </c>
      <c r="N41" s="35">
        <v>0</v>
      </c>
      <c r="O41" s="35">
        <f t="shared" si="12"/>
        <v>0</v>
      </c>
      <c r="P41" s="35">
        <v>1.24</v>
      </c>
      <c r="Q41" s="35">
        <f t="shared" si="13"/>
        <v>8990.248</v>
      </c>
      <c r="R41" s="52">
        <f t="shared" si="14"/>
        <v>109608.52359999999</v>
      </c>
      <c r="S41" s="53">
        <f t="shared" si="7"/>
        <v>119439.26263893745</v>
      </c>
    </row>
    <row r="42" spans="1:19" ht="12.75">
      <c r="A42" s="35">
        <v>16</v>
      </c>
      <c r="B42" s="1" t="s">
        <v>394</v>
      </c>
      <c r="C42" s="35" t="s">
        <v>388</v>
      </c>
      <c r="D42" s="50">
        <v>1351.9</v>
      </c>
      <c r="E42" s="51">
        <f>E55/D55*D42</f>
        <v>213545.62785607262</v>
      </c>
      <c r="F42" s="35" t="s">
        <v>418</v>
      </c>
      <c r="G42" s="52">
        <f t="shared" si="8"/>
        <v>37123.174</v>
      </c>
      <c r="H42" s="52">
        <v>0.31</v>
      </c>
      <c r="I42" s="52">
        <f t="shared" si="9"/>
        <v>5029.068</v>
      </c>
      <c r="J42" s="52" t="s">
        <v>419</v>
      </c>
      <c r="K42" s="52">
        <f t="shared" si="10"/>
        <v>52305.011</v>
      </c>
      <c r="L42" s="35">
        <v>0</v>
      </c>
      <c r="M42" s="35">
        <f t="shared" si="11"/>
        <v>0</v>
      </c>
      <c r="N42" s="35">
        <v>0</v>
      </c>
      <c r="O42" s="35">
        <f t="shared" si="12"/>
        <v>0</v>
      </c>
      <c r="P42" s="35">
        <v>1.24</v>
      </c>
      <c r="Q42" s="35">
        <f t="shared" si="13"/>
        <v>8381.78</v>
      </c>
      <c r="R42" s="52">
        <f t="shared" si="14"/>
        <v>102839.033</v>
      </c>
      <c r="S42" s="53">
        <f t="shared" si="7"/>
        <v>110706.59485607262</v>
      </c>
    </row>
    <row r="43" spans="1:19" ht="12.75">
      <c r="A43" s="35">
        <v>14</v>
      </c>
      <c r="B43" s="1" t="s">
        <v>395</v>
      </c>
      <c r="C43" s="35" t="s">
        <v>388</v>
      </c>
      <c r="D43" s="50">
        <v>1147.5</v>
      </c>
      <c r="E43" s="51">
        <f>E55/D55*D43</f>
        <v>181258.6788703627</v>
      </c>
      <c r="F43" s="35" t="s">
        <v>418</v>
      </c>
      <c r="G43" s="52">
        <f t="shared" si="8"/>
        <v>31510.35</v>
      </c>
      <c r="H43" s="52">
        <v>0.35</v>
      </c>
      <c r="I43" s="52">
        <f t="shared" si="9"/>
        <v>4819.5</v>
      </c>
      <c r="J43" s="52" t="s">
        <v>419</v>
      </c>
      <c r="K43" s="52">
        <f t="shared" si="10"/>
        <v>44396.774999999994</v>
      </c>
      <c r="L43" s="35">
        <v>0</v>
      </c>
      <c r="M43" s="35">
        <f t="shared" si="11"/>
        <v>0</v>
      </c>
      <c r="N43" s="35">
        <v>0</v>
      </c>
      <c r="O43" s="35">
        <f t="shared" si="12"/>
        <v>0</v>
      </c>
      <c r="P43" s="35">
        <v>1.24</v>
      </c>
      <c r="Q43" s="35">
        <f t="shared" si="13"/>
        <v>7114.5</v>
      </c>
      <c r="R43" s="52">
        <f t="shared" si="14"/>
        <v>87841.125</v>
      </c>
      <c r="S43" s="53">
        <f t="shared" si="7"/>
        <v>93417.5538703627</v>
      </c>
    </row>
    <row r="44" spans="1:19" ht="12.75">
      <c r="A44" s="35">
        <v>15</v>
      </c>
      <c r="B44" s="1" t="s">
        <v>396</v>
      </c>
      <c r="C44" s="35" t="s">
        <v>388</v>
      </c>
      <c r="D44" s="50">
        <v>1350.7</v>
      </c>
      <c r="E44" s="51">
        <f>E55/D55*D44</f>
        <v>213356.0762964696</v>
      </c>
      <c r="F44" s="35" t="s">
        <v>418</v>
      </c>
      <c r="G44" s="52">
        <f t="shared" si="8"/>
        <v>37090.222</v>
      </c>
      <c r="H44" s="52">
        <v>0.19</v>
      </c>
      <c r="I44" s="52">
        <f t="shared" si="9"/>
        <v>3079.5960000000005</v>
      </c>
      <c r="J44" s="52" t="s">
        <v>419</v>
      </c>
      <c r="K44" s="52">
        <f t="shared" si="10"/>
        <v>52258.583</v>
      </c>
      <c r="L44" s="35">
        <v>0</v>
      </c>
      <c r="M44" s="35">
        <f t="shared" si="11"/>
        <v>0</v>
      </c>
      <c r="N44" s="35">
        <v>0</v>
      </c>
      <c r="O44" s="35">
        <f t="shared" si="12"/>
        <v>0</v>
      </c>
      <c r="P44" s="35">
        <v>1.24</v>
      </c>
      <c r="Q44" s="35">
        <f t="shared" si="13"/>
        <v>8374.34</v>
      </c>
      <c r="R44" s="52">
        <f t="shared" si="14"/>
        <v>100802.741</v>
      </c>
      <c r="S44" s="53">
        <f t="shared" si="7"/>
        <v>112553.33529646961</v>
      </c>
    </row>
    <row r="45" spans="1:19" ht="12.75">
      <c r="A45" s="35">
        <v>17</v>
      </c>
      <c r="B45" s="1" t="s">
        <v>397</v>
      </c>
      <c r="C45" s="1" t="s">
        <v>388</v>
      </c>
      <c r="D45" s="50">
        <v>360.7</v>
      </c>
      <c r="E45" s="51">
        <f>E55/D55*D45</f>
        <v>56976.039623999844</v>
      </c>
      <c r="F45" s="35" t="s">
        <v>418</v>
      </c>
      <c r="G45" s="52">
        <f t="shared" si="8"/>
        <v>9904.822</v>
      </c>
      <c r="H45" s="52">
        <v>0.7</v>
      </c>
      <c r="I45" s="52">
        <f t="shared" si="9"/>
        <v>3029.8799999999997</v>
      </c>
      <c r="J45" s="52" t="s">
        <v>419</v>
      </c>
      <c r="K45" s="52">
        <f t="shared" si="10"/>
        <v>13955.482999999998</v>
      </c>
      <c r="L45" s="35">
        <v>0</v>
      </c>
      <c r="M45" s="35">
        <f t="shared" si="11"/>
        <v>0</v>
      </c>
      <c r="N45" s="35">
        <v>0</v>
      </c>
      <c r="O45" s="35">
        <f t="shared" si="12"/>
        <v>0</v>
      </c>
      <c r="P45" s="35">
        <v>1.24</v>
      </c>
      <c r="Q45" s="35">
        <f t="shared" si="13"/>
        <v>2236.3399999999997</v>
      </c>
      <c r="R45" s="52">
        <f t="shared" si="14"/>
        <v>29126.524999999998</v>
      </c>
      <c r="S45" s="53">
        <f t="shared" si="7"/>
        <v>27849.514623999847</v>
      </c>
    </row>
    <row r="46" spans="1:19" ht="12.75">
      <c r="A46" s="35">
        <v>18</v>
      </c>
      <c r="B46" s="1" t="s">
        <v>398</v>
      </c>
      <c r="C46" s="35" t="s">
        <v>388</v>
      </c>
      <c r="D46" s="50">
        <v>1060.8</v>
      </c>
      <c r="E46" s="51">
        <f>E55/D55*D46</f>
        <v>167563.57868904638</v>
      </c>
      <c r="F46" s="35" t="s">
        <v>418</v>
      </c>
      <c r="G46" s="52">
        <f t="shared" si="8"/>
        <v>29129.568</v>
      </c>
      <c r="H46" s="52">
        <v>0.38</v>
      </c>
      <c r="I46" s="52">
        <f t="shared" si="9"/>
        <v>4837.248</v>
      </c>
      <c r="J46" s="52" t="s">
        <v>419</v>
      </c>
      <c r="K46" s="52">
        <f t="shared" si="10"/>
        <v>41042.352</v>
      </c>
      <c r="L46" s="35">
        <v>0</v>
      </c>
      <c r="M46" s="35">
        <f t="shared" si="11"/>
        <v>0</v>
      </c>
      <c r="N46" s="35">
        <v>0</v>
      </c>
      <c r="O46" s="35">
        <f t="shared" si="12"/>
        <v>0</v>
      </c>
      <c r="P46" s="35">
        <v>1.24</v>
      </c>
      <c r="Q46" s="35">
        <f t="shared" si="13"/>
        <v>6576.959999999999</v>
      </c>
      <c r="R46" s="52">
        <f t="shared" si="14"/>
        <v>81586.128</v>
      </c>
      <c r="S46" s="53">
        <f t="shared" si="7"/>
        <v>85977.45068904638</v>
      </c>
    </row>
    <row r="47" spans="1:19" ht="12.75">
      <c r="A47" s="35">
        <v>19</v>
      </c>
      <c r="B47" s="1" t="s">
        <v>399</v>
      </c>
      <c r="C47" s="35" t="s">
        <v>388</v>
      </c>
      <c r="D47" s="50">
        <v>1448.1</v>
      </c>
      <c r="E47" s="51">
        <f>E55/D55*D47</f>
        <v>228741.3445509126</v>
      </c>
      <c r="F47" s="35" t="s">
        <v>418</v>
      </c>
      <c r="G47" s="52">
        <f t="shared" si="8"/>
        <v>39764.826</v>
      </c>
      <c r="H47" s="52">
        <v>0.33</v>
      </c>
      <c r="I47" s="52">
        <f t="shared" si="9"/>
        <v>5734.476</v>
      </c>
      <c r="J47" s="52" t="s">
        <v>419</v>
      </c>
      <c r="K47" s="52">
        <f t="shared" si="10"/>
        <v>56026.989</v>
      </c>
      <c r="L47" s="35">
        <v>0</v>
      </c>
      <c r="M47" s="35">
        <f t="shared" si="11"/>
        <v>0</v>
      </c>
      <c r="N47" s="35">
        <v>0</v>
      </c>
      <c r="O47" s="35">
        <f t="shared" si="12"/>
        <v>0</v>
      </c>
      <c r="P47" s="35">
        <v>1.24</v>
      </c>
      <c r="Q47" s="35">
        <f t="shared" si="13"/>
        <v>8978.22</v>
      </c>
      <c r="R47" s="52">
        <f t="shared" si="14"/>
        <v>110504.511</v>
      </c>
      <c r="S47" s="53">
        <f t="shared" si="7"/>
        <v>118236.83355091259</v>
      </c>
    </row>
    <row r="48" spans="1:19" ht="12.75">
      <c r="A48" s="35">
        <v>2</v>
      </c>
      <c r="B48" s="1" t="s">
        <v>400</v>
      </c>
      <c r="C48" s="35" t="s">
        <v>388</v>
      </c>
      <c r="D48" s="50">
        <v>1080.4</v>
      </c>
      <c r="E48" s="51">
        <f>E55/D55*D48</f>
        <v>170659.5874958953</v>
      </c>
      <c r="F48" s="35" t="s">
        <v>418</v>
      </c>
      <c r="G48" s="52">
        <f t="shared" si="8"/>
        <v>29667.784</v>
      </c>
      <c r="H48" s="52">
        <v>0.32</v>
      </c>
      <c r="I48" s="52">
        <f t="shared" si="9"/>
        <v>4148.736</v>
      </c>
      <c r="J48" s="52" t="s">
        <v>419</v>
      </c>
      <c r="K48" s="52">
        <f t="shared" si="10"/>
        <v>41800.67600000001</v>
      </c>
      <c r="L48" s="35">
        <v>0</v>
      </c>
      <c r="M48" s="35">
        <f t="shared" si="11"/>
        <v>0</v>
      </c>
      <c r="N48" s="35">
        <v>0</v>
      </c>
      <c r="O48" s="35">
        <f t="shared" si="12"/>
        <v>0</v>
      </c>
      <c r="P48" s="35">
        <v>1.24</v>
      </c>
      <c r="Q48" s="35">
        <f t="shared" si="13"/>
        <v>6698.4800000000005</v>
      </c>
      <c r="R48" s="52">
        <f t="shared" si="14"/>
        <v>82315.67599999999</v>
      </c>
      <c r="S48" s="53">
        <f t="shared" si="7"/>
        <v>88343.91149589531</v>
      </c>
    </row>
    <row r="49" spans="1:19" ht="12.75">
      <c r="A49" s="35">
        <v>1</v>
      </c>
      <c r="B49" s="1" t="s">
        <v>401</v>
      </c>
      <c r="C49" s="35" t="s">
        <v>388</v>
      </c>
      <c r="D49" s="50">
        <v>474.5</v>
      </c>
      <c r="E49" s="51">
        <f>E55/D55*D49</f>
        <v>74951.84585968374</v>
      </c>
      <c r="F49" s="35" t="s">
        <v>418</v>
      </c>
      <c r="G49" s="52">
        <f t="shared" si="8"/>
        <v>13029.77</v>
      </c>
      <c r="H49" s="52">
        <v>0.47</v>
      </c>
      <c r="I49" s="52">
        <f t="shared" si="9"/>
        <v>2676.18</v>
      </c>
      <c r="J49" s="52" t="s">
        <v>419</v>
      </c>
      <c r="K49" s="52">
        <f t="shared" si="10"/>
        <v>18358.405</v>
      </c>
      <c r="L49" s="35">
        <v>0</v>
      </c>
      <c r="M49" s="35">
        <f t="shared" si="11"/>
        <v>0</v>
      </c>
      <c r="N49" s="35">
        <v>0</v>
      </c>
      <c r="O49" s="35">
        <f t="shared" si="12"/>
        <v>0</v>
      </c>
      <c r="P49" s="35">
        <v>1.24</v>
      </c>
      <c r="Q49" s="35">
        <f t="shared" si="13"/>
        <v>2941.9</v>
      </c>
      <c r="R49" s="52">
        <f t="shared" si="14"/>
        <v>37006.255</v>
      </c>
      <c r="S49" s="53">
        <f t="shared" si="7"/>
        <v>37945.59085968375</v>
      </c>
    </row>
    <row r="50" spans="1:19" ht="12.75">
      <c r="A50" s="35">
        <v>5</v>
      </c>
      <c r="B50" s="1" t="s">
        <v>402</v>
      </c>
      <c r="C50" s="35" t="s">
        <v>403</v>
      </c>
      <c r="D50" s="50">
        <v>475.7</v>
      </c>
      <c r="E50" s="51">
        <f>E55/D55*D50</f>
        <v>75141.39741928673</v>
      </c>
      <c r="F50" s="35" t="s">
        <v>418</v>
      </c>
      <c r="G50" s="52">
        <f t="shared" si="8"/>
        <v>13062.722</v>
      </c>
      <c r="H50" s="52">
        <v>0.27</v>
      </c>
      <c r="I50" s="52">
        <f t="shared" si="9"/>
        <v>1541.268</v>
      </c>
      <c r="J50" s="52" t="s">
        <v>419</v>
      </c>
      <c r="K50" s="52">
        <f t="shared" si="10"/>
        <v>18404.833</v>
      </c>
      <c r="L50" s="35">
        <v>0</v>
      </c>
      <c r="M50" s="35">
        <f t="shared" si="11"/>
        <v>0</v>
      </c>
      <c r="N50" s="35">
        <v>0</v>
      </c>
      <c r="O50" s="35">
        <f t="shared" si="12"/>
        <v>0</v>
      </c>
      <c r="P50" s="35">
        <v>1.24</v>
      </c>
      <c r="Q50" s="35">
        <f t="shared" si="13"/>
        <v>2949.3399999999997</v>
      </c>
      <c r="R50" s="52">
        <f t="shared" si="14"/>
        <v>35958.16299999999</v>
      </c>
      <c r="S50" s="53">
        <f t="shared" si="7"/>
        <v>39183.23441928674</v>
      </c>
    </row>
    <row r="51" spans="1:19" ht="12.75">
      <c r="A51" s="35">
        <v>6</v>
      </c>
      <c r="B51" s="1" t="s">
        <v>404</v>
      </c>
      <c r="C51" s="35" t="s">
        <v>388</v>
      </c>
      <c r="D51" s="50">
        <v>1121.1</v>
      </c>
      <c r="E51" s="51">
        <f>E55/D55*D51</f>
        <v>177088.5445590968</v>
      </c>
      <c r="F51" s="35" t="s">
        <v>418</v>
      </c>
      <c r="G51" s="52">
        <f t="shared" si="8"/>
        <v>30785.406</v>
      </c>
      <c r="H51" s="52">
        <v>0.38</v>
      </c>
      <c r="I51" s="52">
        <f t="shared" si="9"/>
        <v>5112.215999999999</v>
      </c>
      <c r="J51" s="52" t="s">
        <v>419</v>
      </c>
      <c r="K51" s="52">
        <f t="shared" si="10"/>
        <v>43375.359</v>
      </c>
      <c r="L51" s="35">
        <v>0</v>
      </c>
      <c r="M51" s="35">
        <f t="shared" si="11"/>
        <v>0</v>
      </c>
      <c r="N51" s="35">
        <v>0</v>
      </c>
      <c r="O51" s="35">
        <f t="shared" si="12"/>
        <v>0</v>
      </c>
      <c r="P51" s="35">
        <v>1.24</v>
      </c>
      <c r="Q51" s="35">
        <f t="shared" si="13"/>
        <v>6950.82</v>
      </c>
      <c r="R51" s="52">
        <f t="shared" si="14"/>
        <v>86223.801</v>
      </c>
      <c r="S51" s="53">
        <f t="shared" si="7"/>
        <v>90864.7435590968</v>
      </c>
    </row>
    <row r="52" spans="1:19" ht="12.75">
      <c r="A52" s="35">
        <v>7</v>
      </c>
      <c r="B52" s="1" t="s">
        <v>405</v>
      </c>
      <c r="C52" s="35" t="s">
        <v>388</v>
      </c>
      <c r="D52" s="50">
        <v>821.6</v>
      </c>
      <c r="E52" s="51">
        <f>E55/D55*D52</f>
        <v>129779.63447484966</v>
      </c>
      <c r="F52" s="35" t="s">
        <v>418</v>
      </c>
      <c r="G52" s="52">
        <f t="shared" si="8"/>
        <v>22561.136</v>
      </c>
      <c r="H52" s="52">
        <v>0.48</v>
      </c>
      <c r="I52" s="52">
        <f t="shared" si="9"/>
        <v>4732.416</v>
      </c>
      <c r="J52" s="52" t="s">
        <v>419</v>
      </c>
      <c r="K52" s="52">
        <f t="shared" si="10"/>
        <v>31787.703999999998</v>
      </c>
      <c r="L52" s="35">
        <v>0</v>
      </c>
      <c r="M52" s="35">
        <f t="shared" si="11"/>
        <v>0</v>
      </c>
      <c r="N52" s="35">
        <v>0</v>
      </c>
      <c r="O52" s="35">
        <f t="shared" si="12"/>
        <v>0</v>
      </c>
      <c r="P52" s="35">
        <v>1.24</v>
      </c>
      <c r="Q52" s="35">
        <f t="shared" si="13"/>
        <v>5093.92</v>
      </c>
      <c r="R52" s="52">
        <f t="shared" si="14"/>
        <v>64175.17599999999</v>
      </c>
      <c r="S52" s="53">
        <f t="shared" si="7"/>
        <v>65604.45847484967</v>
      </c>
    </row>
    <row r="53" spans="1:19" ht="12.75">
      <c r="A53" s="35">
        <v>3</v>
      </c>
      <c r="B53" s="1" t="s">
        <v>406</v>
      </c>
      <c r="C53" s="35" t="s">
        <v>388</v>
      </c>
      <c r="D53" s="50">
        <v>1047.6</v>
      </c>
      <c r="E53" s="51">
        <f>E55/D55*D53</f>
        <v>165478.51153341343</v>
      </c>
      <c r="F53" s="35" t="s">
        <v>418</v>
      </c>
      <c r="G53" s="52">
        <f t="shared" si="8"/>
        <v>28767.095999999998</v>
      </c>
      <c r="H53" s="52">
        <v>0.38</v>
      </c>
      <c r="I53" s="52">
        <f t="shared" si="9"/>
        <v>4777.056</v>
      </c>
      <c r="J53" s="52" t="s">
        <v>419</v>
      </c>
      <c r="K53" s="52">
        <f t="shared" si="10"/>
        <v>40531.644</v>
      </c>
      <c r="L53" s="35">
        <v>0</v>
      </c>
      <c r="M53" s="35">
        <f t="shared" si="11"/>
        <v>0</v>
      </c>
      <c r="N53" s="35">
        <v>0</v>
      </c>
      <c r="O53" s="35">
        <f t="shared" si="12"/>
        <v>0</v>
      </c>
      <c r="P53" s="35">
        <v>1.24</v>
      </c>
      <c r="Q53" s="35">
        <f t="shared" si="13"/>
        <v>6495.119999999999</v>
      </c>
      <c r="R53" s="52">
        <f t="shared" si="14"/>
        <v>80570.916</v>
      </c>
      <c r="S53" s="53">
        <f t="shared" si="7"/>
        <v>84907.59553341343</v>
      </c>
    </row>
    <row r="54" spans="1:19" ht="12.75">
      <c r="A54" s="35">
        <v>4</v>
      </c>
      <c r="B54" s="1" t="s">
        <v>407</v>
      </c>
      <c r="C54" s="35" t="s">
        <v>388</v>
      </c>
      <c r="D54" s="50">
        <v>293.2</v>
      </c>
      <c r="E54" s="51">
        <f>E55/D55*D54</f>
        <v>46313.76439633145</v>
      </c>
      <c r="F54" s="35" t="s">
        <v>418</v>
      </c>
      <c r="G54" s="52">
        <f t="shared" si="8"/>
        <v>8051.272</v>
      </c>
      <c r="H54" s="52">
        <v>0.45</v>
      </c>
      <c r="I54" s="52">
        <f t="shared" si="9"/>
        <v>1583.28</v>
      </c>
      <c r="J54" s="52" t="s">
        <v>419</v>
      </c>
      <c r="K54" s="52">
        <f t="shared" si="10"/>
        <v>11343.908</v>
      </c>
      <c r="L54" s="35">
        <v>0</v>
      </c>
      <c r="M54" s="35">
        <f t="shared" si="11"/>
        <v>0</v>
      </c>
      <c r="N54" s="35">
        <v>0</v>
      </c>
      <c r="O54" s="35">
        <f t="shared" si="12"/>
        <v>0</v>
      </c>
      <c r="P54" s="35">
        <v>1.24</v>
      </c>
      <c r="Q54" s="35">
        <f t="shared" si="13"/>
        <v>1817.84</v>
      </c>
      <c r="R54" s="52">
        <f t="shared" si="14"/>
        <v>22796.3</v>
      </c>
      <c r="S54" s="53">
        <f t="shared" si="7"/>
        <v>23517.46439633145</v>
      </c>
    </row>
    <row r="55" spans="1:21" s="96" customFormat="1" ht="15.75">
      <c r="A55" s="92"/>
      <c r="B55" s="93" t="s">
        <v>408</v>
      </c>
      <c r="C55" s="92"/>
      <c r="D55" s="94">
        <f>SUM(D36:D54)</f>
        <v>19794.139999999996</v>
      </c>
      <c r="E55" s="56">
        <v>3126675.09</v>
      </c>
      <c r="F55" s="95"/>
      <c r="G55" s="57">
        <f>SUM(G36:G54)</f>
        <v>543547.0843999999</v>
      </c>
      <c r="H55" s="95"/>
      <c r="I55" s="58">
        <f>SUM(I36:I54)</f>
        <v>82874.19359999998</v>
      </c>
      <c r="J55" s="95"/>
      <c r="K55" s="59">
        <f>SUM(K36:K54)</f>
        <v>765835.2766</v>
      </c>
      <c r="L55" s="95"/>
      <c r="M55" s="59">
        <f>SUM(M36:M54)</f>
        <v>9130.524000000001</v>
      </c>
      <c r="N55" s="95"/>
      <c r="O55" s="59">
        <f>SUM(O36:O54)</f>
        <v>24660.947999999997</v>
      </c>
      <c r="P55" s="95"/>
      <c r="Q55" s="59">
        <f>SUM(Q36:Q54)</f>
        <v>122723.66799999996</v>
      </c>
      <c r="R55" s="60">
        <f>SUM(R36:R54)</f>
        <v>1548771.6945999998</v>
      </c>
      <c r="S55" s="60">
        <f>SUM(S36:S54)</f>
        <v>1577903.3954000005</v>
      </c>
      <c r="T55" s="123"/>
      <c r="U55" s="123"/>
    </row>
    <row r="56" spans="5:21" ht="18">
      <c r="E56" s="97" t="s">
        <v>423</v>
      </c>
      <c r="S56" s="124" t="s">
        <v>424</v>
      </c>
      <c r="T56" s="125"/>
      <c r="U56" s="125"/>
    </row>
    <row r="59" spans="1:4" ht="15">
      <c r="A59" s="222" t="s">
        <v>367</v>
      </c>
      <c r="B59" s="222"/>
      <c r="C59" s="222"/>
      <c r="D59" s="222"/>
    </row>
    <row r="60" spans="2:12" ht="15">
      <c r="B60" s="97" t="s">
        <v>425</v>
      </c>
      <c r="C60" s="97"/>
      <c r="D60" s="97"/>
      <c r="I60" s="223" t="s">
        <v>426</v>
      </c>
      <c r="J60" s="224"/>
      <c r="K60" s="224"/>
      <c r="L60" s="224"/>
    </row>
    <row r="61" spans="1:19" ht="15.75">
      <c r="A61" s="37" t="s">
        <v>369</v>
      </c>
      <c r="B61" s="37" t="s">
        <v>370</v>
      </c>
      <c r="C61" s="37" t="s">
        <v>371</v>
      </c>
      <c r="D61" s="37" t="s">
        <v>372</v>
      </c>
      <c r="E61" s="61" t="s">
        <v>373</v>
      </c>
      <c r="F61" s="41"/>
      <c r="G61" s="41"/>
      <c r="H61" s="102" t="s">
        <v>376</v>
      </c>
      <c r="I61" s="103" t="s">
        <v>375</v>
      </c>
      <c r="J61" s="102" t="s">
        <v>377</v>
      </c>
      <c r="K61" s="103" t="s">
        <v>375</v>
      </c>
      <c r="L61" s="102" t="s">
        <v>378</v>
      </c>
      <c r="M61" s="103" t="s">
        <v>375</v>
      </c>
      <c r="N61" s="102" t="s">
        <v>379</v>
      </c>
      <c r="O61" s="103" t="s">
        <v>375</v>
      </c>
      <c r="P61" s="102" t="s">
        <v>427</v>
      </c>
      <c r="Q61" s="103" t="s">
        <v>375</v>
      </c>
      <c r="R61" s="104" t="s">
        <v>384</v>
      </c>
      <c r="S61" s="105" t="s">
        <v>366</v>
      </c>
    </row>
    <row r="62" spans="1:19" ht="15.75">
      <c r="A62" s="47"/>
      <c r="B62" s="47"/>
      <c r="C62" s="47"/>
      <c r="D62" s="47"/>
      <c r="E62" s="67">
        <v>43435</v>
      </c>
      <c r="F62" s="11"/>
      <c r="G62" s="67"/>
      <c r="H62" s="11"/>
      <c r="I62" s="67">
        <v>43435</v>
      </c>
      <c r="J62" s="11"/>
      <c r="K62" s="67">
        <v>43435</v>
      </c>
      <c r="L62" s="11" t="s">
        <v>382</v>
      </c>
      <c r="M62" s="67">
        <v>43435</v>
      </c>
      <c r="N62" s="11"/>
      <c r="O62" s="67">
        <v>43435</v>
      </c>
      <c r="P62" s="106"/>
      <c r="Q62" s="67">
        <v>43435</v>
      </c>
      <c r="R62" s="48" t="s">
        <v>428</v>
      </c>
      <c r="S62" s="107" t="s">
        <v>383</v>
      </c>
    </row>
    <row r="63" spans="1:19" ht="15.75">
      <c r="A63" s="47"/>
      <c r="B63" s="47"/>
      <c r="C63" s="47"/>
      <c r="D63" s="47"/>
      <c r="E63" s="67">
        <v>43769</v>
      </c>
      <c r="F63" s="11"/>
      <c r="G63" s="67"/>
      <c r="H63" s="11"/>
      <c r="I63" s="67">
        <v>43769</v>
      </c>
      <c r="J63" s="11"/>
      <c r="K63" s="67">
        <v>43769</v>
      </c>
      <c r="L63" s="11"/>
      <c r="M63" s="67">
        <v>43769</v>
      </c>
      <c r="N63" s="11"/>
      <c r="O63" s="67">
        <v>43769</v>
      </c>
      <c r="P63" s="106"/>
      <c r="Q63" s="67">
        <v>43769</v>
      </c>
      <c r="R63" s="99" t="s">
        <v>429</v>
      </c>
      <c r="S63" s="107" t="s">
        <v>385</v>
      </c>
    </row>
    <row r="64" spans="1:19" ht="33" customHeight="1">
      <c r="A64" s="38"/>
      <c r="B64" s="38"/>
      <c r="C64" s="38"/>
      <c r="D64" s="38"/>
      <c r="E64" s="38"/>
      <c r="F64" s="43"/>
      <c r="G64" s="108"/>
      <c r="H64" s="43"/>
      <c r="I64" s="43" t="s">
        <v>430</v>
      </c>
      <c r="J64" s="43"/>
      <c r="K64" s="43" t="s">
        <v>430</v>
      </c>
      <c r="L64" s="109"/>
      <c r="M64" s="43" t="s">
        <v>430</v>
      </c>
      <c r="N64" s="109"/>
      <c r="O64" s="43" t="s">
        <v>430</v>
      </c>
      <c r="P64" s="110" t="s">
        <v>431</v>
      </c>
      <c r="Q64" s="43" t="s">
        <v>430</v>
      </c>
      <c r="R64" s="38"/>
      <c r="S64" s="111" t="s">
        <v>432</v>
      </c>
    </row>
    <row r="65" spans="1:19" ht="15.75">
      <c r="A65" s="35">
        <v>8</v>
      </c>
      <c r="B65" s="1" t="s">
        <v>387</v>
      </c>
      <c r="C65" s="35" t="s">
        <v>388</v>
      </c>
      <c r="D65" s="50">
        <v>738.8</v>
      </c>
      <c r="E65" s="51">
        <f>E84/D84*D65</f>
        <v>99186.14187673727</v>
      </c>
      <c r="F65" s="1"/>
      <c r="G65" s="2"/>
      <c r="H65" s="112">
        <v>0.54</v>
      </c>
      <c r="I65" s="113">
        <f>H65*D65*11</f>
        <v>4388.472</v>
      </c>
      <c r="J65" s="112" t="s">
        <v>433</v>
      </c>
      <c r="K65" s="114">
        <f>D65*3.3*7+D65*3.43*4</f>
        <v>27202.615999999995</v>
      </c>
      <c r="L65" s="115">
        <v>0.47</v>
      </c>
      <c r="M65" s="116">
        <f>D65*L65*11</f>
        <v>3819.595999999999</v>
      </c>
      <c r="N65" s="115" t="s">
        <v>434</v>
      </c>
      <c r="O65" s="117">
        <f>D65*0.74*7+D65*0.78*4</f>
        <v>6132.04</v>
      </c>
      <c r="P65" s="118" t="s">
        <v>431</v>
      </c>
      <c r="Q65" s="119">
        <f>D65*1.24*7+D65*1.29*4</f>
        <v>10224.992</v>
      </c>
      <c r="R65" s="52">
        <f aca="true" t="shared" si="15" ref="R65:R83">G65+I65+K65+M65+O65+Q65</f>
        <v>51767.71599999999</v>
      </c>
      <c r="S65" s="120">
        <f aca="true" t="shared" si="16" ref="S65:S83">E65-R65</f>
        <v>47418.425876737274</v>
      </c>
    </row>
    <row r="66" spans="1:19" ht="15.75">
      <c r="A66" s="35">
        <v>9</v>
      </c>
      <c r="B66" s="1" t="s">
        <v>389</v>
      </c>
      <c r="C66" s="35" t="s">
        <v>388</v>
      </c>
      <c r="D66" s="50">
        <v>821.5</v>
      </c>
      <c r="E66" s="51">
        <f>E84/D84*D66</f>
        <v>110288.86782855938</v>
      </c>
      <c r="F66" s="1"/>
      <c r="G66" s="2"/>
      <c r="H66" s="112">
        <v>0.6</v>
      </c>
      <c r="I66" s="113">
        <f aca="true" t="shared" si="17" ref="I66:I83">H66*D66*11</f>
        <v>5421.9</v>
      </c>
      <c r="J66" s="112" t="s">
        <v>433</v>
      </c>
      <c r="K66" s="114">
        <f aca="true" t="shared" si="18" ref="K66:K83">D66*3.3*7+D66*3.43*4</f>
        <v>30247.629999999997</v>
      </c>
      <c r="L66" s="115">
        <v>0</v>
      </c>
      <c r="M66" s="116">
        <f>L66*D66*36</f>
        <v>0</v>
      </c>
      <c r="N66" s="115">
        <v>0</v>
      </c>
      <c r="O66" s="117">
        <f>N66*D66*36</f>
        <v>0</v>
      </c>
      <c r="P66" s="118" t="s">
        <v>431</v>
      </c>
      <c r="Q66" s="119">
        <f>D66*1.24*7+D66*1.29*4</f>
        <v>11369.560000000001</v>
      </c>
      <c r="R66" s="52">
        <f t="shared" si="15"/>
        <v>47039.09</v>
      </c>
      <c r="S66" s="120">
        <f t="shared" si="16"/>
        <v>63249.77782855938</v>
      </c>
    </row>
    <row r="67" spans="1:19" ht="15.75">
      <c r="A67" s="35">
        <v>10</v>
      </c>
      <c r="B67" s="1" t="s">
        <v>390</v>
      </c>
      <c r="C67" s="35" t="s">
        <v>388</v>
      </c>
      <c r="D67" s="50">
        <v>2105.6</v>
      </c>
      <c r="E67" s="51">
        <f>E84/D84*D67</f>
        <v>282683.1894093909</v>
      </c>
      <c r="F67" s="1"/>
      <c r="G67" s="2"/>
      <c r="H67" s="112">
        <v>0.32</v>
      </c>
      <c r="I67" s="113">
        <f t="shared" si="17"/>
        <v>7411.712</v>
      </c>
      <c r="J67" s="112" t="s">
        <v>433</v>
      </c>
      <c r="K67" s="114">
        <f t="shared" si="18"/>
        <v>77528.192</v>
      </c>
      <c r="L67" s="115">
        <v>0.47</v>
      </c>
      <c r="M67" s="116">
        <f>D67*L67*11</f>
        <v>10885.952</v>
      </c>
      <c r="N67" s="115" t="s">
        <v>434</v>
      </c>
      <c r="O67" s="117">
        <f>D67*0.74*7+D67*0.78*4</f>
        <v>17476.48</v>
      </c>
      <c r="P67" s="118" t="s">
        <v>431</v>
      </c>
      <c r="Q67" s="119">
        <f aca="true" t="shared" si="19" ref="Q67:Q83">D67*1.24*7+D67*1.29*4</f>
        <v>29141.504</v>
      </c>
      <c r="R67" s="52">
        <f t="shared" si="15"/>
        <v>142443.84</v>
      </c>
      <c r="S67" s="120">
        <f t="shared" si="16"/>
        <v>140239.3494093909</v>
      </c>
    </row>
    <row r="68" spans="1:19" ht="15.75">
      <c r="A68" s="35">
        <v>11</v>
      </c>
      <c r="B68" s="1" t="s">
        <v>391</v>
      </c>
      <c r="C68" s="35" t="s">
        <v>388</v>
      </c>
      <c r="D68" s="50">
        <v>1711.7</v>
      </c>
      <c r="E68" s="51">
        <f>E84/D84*D68</f>
        <v>229800.91912616568</v>
      </c>
      <c r="F68" s="1"/>
      <c r="G68" s="2"/>
      <c r="H68" s="112">
        <v>0.24</v>
      </c>
      <c r="I68" s="113">
        <f t="shared" si="17"/>
        <v>4518.888</v>
      </c>
      <c r="J68" s="112" t="s">
        <v>433</v>
      </c>
      <c r="K68" s="114">
        <f t="shared" si="18"/>
        <v>63024.793999999994</v>
      </c>
      <c r="L68" s="115">
        <v>0</v>
      </c>
      <c r="M68" s="121">
        <f aca="true" t="shared" si="20" ref="M68:M83">L68*D68*36</f>
        <v>0</v>
      </c>
      <c r="N68" s="115">
        <v>0</v>
      </c>
      <c r="O68" s="117">
        <f aca="true" t="shared" si="21" ref="O68:O83">N68*D68*36</f>
        <v>0</v>
      </c>
      <c r="P68" s="118" t="s">
        <v>431</v>
      </c>
      <c r="Q68" s="119">
        <f t="shared" si="19"/>
        <v>23689.928000000004</v>
      </c>
      <c r="R68" s="52">
        <f t="shared" si="15"/>
        <v>91233.61</v>
      </c>
      <c r="S68" s="120">
        <f t="shared" si="16"/>
        <v>138567.3091261657</v>
      </c>
    </row>
    <row r="69" spans="1:19" ht="15.75">
      <c r="A69" s="35">
        <v>12</v>
      </c>
      <c r="B69" s="1" t="s">
        <v>392</v>
      </c>
      <c r="C69" s="35" t="s">
        <v>388</v>
      </c>
      <c r="D69" s="50">
        <v>932.7</v>
      </c>
      <c r="E69" s="51">
        <f>E84/D84*D69</f>
        <v>125217.80526317388</v>
      </c>
      <c r="F69" s="1"/>
      <c r="G69" s="2"/>
      <c r="H69" s="112">
        <v>0.3</v>
      </c>
      <c r="I69" s="113">
        <f t="shared" si="17"/>
        <v>3077.91</v>
      </c>
      <c r="J69" s="112" t="s">
        <v>433</v>
      </c>
      <c r="K69" s="114">
        <f t="shared" si="18"/>
        <v>34342.014</v>
      </c>
      <c r="L69" s="115">
        <v>0</v>
      </c>
      <c r="M69" s="121">
        <f t="shared" si="20"/>
        <v>0</v>
      </c>
      <c r="N69" s="115">
        <v>0</v>
      </c>
      <c r="O69" s="117">
        <f t="shared" si="21"/>
        <v>0</v>
      </c>
      <c r="P69" s="118" t="s">
        <v>431</v>
      </c>
      <c r="Q69" s="119">
        <f t="shared" si="19"/>
        <v>12908.568</v>
      </c>
      <c r="R69" s="52">
        <f t="shared" si="15"/>
        <v>50328.492</v>
      </c>
      <c r="S69" s="120">
        <f t="shared" si="16"/>
        <v>74889.31326317388</v>
      </c>
    </row>
    <row r="70" spans="1:19" ht="15.75">
      <c r="A70" s="35">
        <v>13</v>
      </c>
      <c r="B70" s="1" t="s">
        <v>393</v>
      </c>
      <c r="C70" s="35" t="s">
        <v>388</v>
      </c>
      <c r="D70" s="50">
        <v>1450.04</v>
      </c>
      <c r="E70" s="51">
        <f>E84/D84*D70</f>
        <v>194672.27012309706</v>
      </c>
      <c r="F70" s="1"/>
      <c r="G70" s="2"/>
      <c r="H70" s="112">
        <v>0.27</v>
      </c>
      <c r="I70" s="113">
        <f t="shared" si="17"/>
        <v>4306.6188</v>
      </c>
      <c r="J70" s="112" t="s">
        <v>433</v>
      </c>
      <c r="K70" s="114">
        <f t="shared" si="18"/>
        <v>53390.4728</v>
      </c>
      <c r="L70" s="115">
        <v>0</v>
      </c>
      <c r="M70" s="121">
        <f t="shared" si="20"/>
        <v>0</v>
      </c>
      <c r="N70" s="115">
        <v>0</v>
      </c>
      <c r="O70" s="117">
        <f t="shared" si="21"/>
        <v>0</v>
      </c>
      <c r="P70" s="118" t="s">
        <v>431</v>
      </c>
      <c r="Q70" s="119">
        <f t="shared" si="19"/>
        <v>20068.5536</v>
      </c>
      <c r="R70" s="52">
        <f t="shared" si="15"/>
        <v>77765.6452</v>
      </c>
      <c r="S70" s="120">
        <f t="shared" si="16"/>
        <v>116906.62492309706</v>
      </c>
    </row>
    <row r="71" spans="1:19" ht="15.75">
      <c r="A71" s="35">
        <v>16</v>
      </c>
      <c r="B71" s="1" t="s">
        <v>394</v>
      </c>
      <c r="C71" s="35" t="s">
        <v>388</v>
      </c>
      <c r="D71" s="50">
        <v>1351.9</v>
      </c>
      <c r="E71" s="51">
        <f>E84/D84*D71</f>
        <v>181496.6773188429</v>
      </c>
      <c r="F71" s="1"/>
      <c r="G71" s="2"/>
      <c r="H71" s="112">
        <v>0.31</v>
      </c>
      <c r="I71" s="113">
        <f t="shared" si="17"/>
        <v>4609.979</v>
      </c>
      <c r="J71" s="112" t="s">
        <v>433</v>
      </c>
      <c r="K71" s="114">
        <f t="shared" si="18"/>
        <v>49776.958000000006</v>
      </c>
      <c r="L71" s="115">
        <v>0</v>
      </c>
      <c r="M71" s="121">
        <f t="shared" si="20"/>
        <v>0</v>
      </c>
      <c r="N71" s="115">
        <v>0</v>
      </c>
      <c r="O71" s="117">
        <f t="shared" si="21"/>
        <v>0</v>
      </c>
      <c r="P71" s="118" t="s">
        <v>431</v>
      </c>
      <c r="Q71" s="119">
        <f t="shared" si="19"/>
        <v>18710.296000000002</v>
      </c>
      <c r="R71" s="52">
        <f t="shared" si="15"/>
        <v>73097.23300000001</v>
      </c>
      <c r="S71" s="120">
        <f t="shared" si="16"/>
        <v>108399.4443188429</v>
      </c>
    </row>
    <row r="72" spans="1:19" ht="15.75">
      <c r="A72" s="35">
        <v>14</v>
      </c>
      <c r="B72" s="1" t="s">
        <v>395</v>
      </c>
      <c r="C72" s="35" t="s">
        <v>388</v>
      </c>
      <c r="D72" s="50">
        <v>1147.5</v>
      </c>
      <c r="E72" s="51">
        <f>E84/D84*D72</f>
        <v>154055.35707032488</v>
      </c>
      <c r="F72" s="1"/>
      <c r="G72" s="2"/>
      <c r="H72" s="112">
        <v>0.35</v>
      </c>
      <c r="I72" s="113">
        <f t="shared" si="17"/>
        <v>4417.875</v>
      </c>
      <c r="J72" s="112" t="s">
        <v>433</v>
      </c>
      <c r="K72" s="114">
        <f t="shared" si="18"/>
        <v>42250.95</v>
      </c>
      <c r="L72" s="115">
        <v>0</v>
      </c>
      <c r="M72" s="121">
        <f t="shared" si="20"/>
        <v>0</v>
      </c>
      <c r="N72" s="115">
        <v>0</v>
      </c>
      <c r="O72" s="117">
        <f t="shared" si="21"/>
        <v>0</v>
      </c>
      <c r="P72" s="118" t="s">
        <v>431</v>
      </c>
      <c r="Q72" s="119">
        <f t="shared" si="19"/>
        <v>15881.400000000001</v>
      </c>
      <c r="R72" s="52">
        <f t="shared" si="15"/>
        <v>62550.225</v>
      </c>
      <c r="S72" s="120">
        <f t="shared" si="16"/>
        <v>91505.13207032488</v>
      </c>
    </row>
    <row r="73" spans="1:19" ht="15.75">
      <c r="A73" s="35">
        <v>15</v>
      </c>
      <c r="B73" s="1" t="s">
        <v>396</v>
      </c>
      <c r="C73" s="35" t="s">
        <v>388</v>
      </c>
      <c r="D73" s="50">
        <v>1350.7</v>
      </c>
      <c r="E73" s="51">
        <f>E84/D84*D73</f>
        <v>181335.57367746215</v>
      </c>
      <c r="F73" s="1"/>
      <c r="G73" s="2"/>
      <c r="H73" s="112">
        <v>0.19</v>
      </c>
      <c r="I73" s="113">
        <f t="shared" si="17"/>
        <v>2822.9630000000006</v>
      </c>
      <c r="J73" s="112" t="s">
        <v>433</v>
      </c>
      <c r="K73" s="114">
        <f t="shared" si="18"/>
        <v>49732.774000000005</v>
      </c>
      <c r="L73" s="115">
        <v>0</v>
      </c>
      <c r="M73" s="121">
        <f t="shared" si="20"/>
        <v>0</v>
      </c>
      <c r="N73" s="115">
        <v>0</v>
      </c>
      <c r="O73" s="117">
        <f t="shared" si="21"/>
        <v>0</v>
      </c>
      <c r="P73" s="118" t="s">
        <v>431</v>
      </c>
      <c r="Q73" s="119">
        <f t="shared" si="19"/>
        <v>18693.688</v>
      </c>
      <c r="R73" s="52">
        <f t="shared" si="15"/>
        <v>71249.425</v>
      </c>
      <c r="S73" s="120">
        <f t="shared" si="16"/>
        <v>110086.14867746214</v>
      </c>
    </row>
    <row r="74" spans="1:19" ht="15.75">
      <c r="A74" s="35">
        <v>17</v>
      </c>
      <c r="B74" s="1" t="s">
        <v>397</v>
      </c>
      <c r="C74" s="1" t="s">
        <v>388</v>
      </c>
      <c r="D74" s="50">
        <v>360.7</v>
      </c>
      <c r="E74" s="51">
        <f>E84/D84*D74</f>
        <v>48425.06953835833</v>
      </c>
      <c r="F74" s="1"/>
      <c r="G74" s="2"/>
      <c r="H74" s="112">
        <v>0.7</v>
      </c>
      <c r="I74" s="113">
        <f t="shared" si="17"/>
        <v>2777.39</v>
      </c>
      <c r="J74" s="112" t="s">
        <v>433</v>
      </c>
      <c r="K74" s="114">
        <f t="shared" si="18"/>
        <v>13280.974</v>
      </c>
      <c r="L74" s="115">
        <v>0</v>
      </c>
      <c r="M74" s="121">
        <f t="shared" si="20"/>
        <v>0</v>
      </c>
      <c r="N74" s="115">
        <v>0</v>
      </c>
      <c r="O74" s="117">
        <f t="shared" si="21"/>
        <v>0</v>
      </c>
      <c r="P74" s="118" t="s">
        <v>431</v>
      </c>
      <c r="Q74" s="119">
        <f t="shared" si="19"/>
        <v>4992.088</v>
      </c>
      <c r="R74" s="52">
        <f t="shared" si="15"/>
        <v>21050.451999999997</v>
      </c>
      <c r="S74" s="120">
        <f t="shared" si="16"/>
        <v>27374.617538358332</v>
      </c>
    </row>
    <row r="75" spans="1:19" ht="15.75">
      <c r="A75" s="35">
        <v>18</v>
      </c>
      <c r="B75" s="1" t="s">
        <v>398</v>
      </c>
      <c r="C75" s="35" t="s">
        <v>388</v>
      </c>
      <c r="D75" s="50">
        <v>1060.8</v>
      </c>
      <c r="E75" s="51">
        <f>E84/D84*D75</f>
        <v>142415.618980567</v>
      </c>
      <c r="F75" s="1"/>
      <c r="G75" s="2"/>
      <c r="H75" s="112">
        <v>0.38</v>
      </c>
      <c r="I75" s="113">
        <f t="shared" si="17"/>
        <v>4434.144</v>
      </c>
      <c r="J75" s="112" t="s">
        <v>433</v>
      </c>
      <c r="K75" s="114">
        <f t="shared" si="18"/>
        <v>39058.656</v>
      </c>
      <c r="L75" s="115">
        <v>0</v>
      </c>
      <c r="M75" s="121">
        <f t="shared" si="20"/>
        <v>0</v>
      </c>
      <c r="N75" s="115">
        <v>0</v>
      </c>
      <c r="O75" s="117">
        <f t="shared" si="21"/>
        <v>0</v>
      </c>
      <c r="P75" s="118" t="s">
        <v>431</v>
      </c>
      <c r="Q75" s="119">
        <f t="shared" si="19"/>
        <v>14681.471999999998</v>
      </c>
      <c r="R75" s="52">
        <f t="shared" si="15"/>
        <v>58174.272</v>
      </c>
      <c r="S75" s="120">
        <f t="shared" si="16"/>
        <v>84241.346980567</v>
      </c>
    </row>
    <row r="76" spans="1:19" ht="15.75">
      <c r="A76" s="35">
        <v>19</v>
      </c>
      <c r="B76" s="1" t="s">
        <v>399</v>
      </c>
      <c r="C76" s="35" t="s">
        <v>388</v>
      </c>
      <c r="D76" s="50">
        <v>1448.1</v>
      </c>
      <c r="E76" s="51">
        <f>E84/D84*D76</f>
        <v>194411.8192361982</v>
      </c>
      <c r="F76" s="1"/>
      <c r="G76" s="2"/>
      <c r="H76" s="112">
        <v>0.33</v>
      </c>
      <c r="I76" s="113">
        <f t="shared" si="17"/>
        <v>5256.603</v>
      </c>
      <c r="J76" s="112" t="s">
        <v>433</v>
      </c>
      <c r="K76" s="114">
        <f t="shared" si="18"/>
        <v>53319.042</v>
      </c>
      <c r="L76" s="115">
        <v>0</v>
      </c>
      <c r="M76" s="121">
        <f t="shared" si="20"/>
        <v>0</v>
      </c>
      <c r="N76" s="115">
        <v>0</v>
      </c>
      <c r="O76" s="117">
        <f t="shared" si="21"/>
        <v>0</v>
      </c>
      <c r="P76" s="118" t="s">
        <v>431</v>
      </c>
      <c r="Q76" s="119">
        <f t="shared" si="19"/>
        <v>20041.703999999998</v>
      </c>
      <c r="R76" s="52">
        <f t="shared" si="15"/>
        <v>78617.349</v>
      </c>
      <c r="S76" s="120">
        <f t="shared" si="16"/>
        <v>115794.4702361982</v>
      </c>
    </row>
    <row r="77" spans="1:19" ht="15.75">
      <c r="A77" s="35">
        <v>2</v>
      </c>
      <c r="B77" s="1" t="s">
        <v>400</v>
      </c>
      <c r="C77" s="35" t="s">
        <v>388</v>
      </c>
      <c r="D77" s="50">
        <v>1080.4</v>
      </c>
      <c r="E77" s="51">
        <f>E84/D84*D77</f>
        <v>145046.9784564523</v>
      </c>
      <c r="F77" s="1"/>
      <c r="G77" s="2"/>
      <c r="H77" s="112">
        <v>0.32</v>
      </c>
      <c r="I77" s="113">
        <f t="shared" si="17"/>
        <v>3803.0080000000003</v>
      </c>
      <c r="J77" s="112" t="s">
        <v>433</v>
      </c>
      <c r="K77" s="114">
        <f t="shared" si="18"/>
        <v>39780.328</v>
      </c>
      <c r="L77" s="115">
        <v>0</v>
      </c>
      <c r="M77" s="121">
        <f t="shared" si="20"/>
        <v>0</v>
      </c>
      <c r="N77" s="115">
        <v>0</v>
      </c>
      <c r="O77" s="117">
        <f t="shared" si="21"/>
        <v>0</v>
      </c>
      <c r="P77" s="118" t="s">
        <v>431</v>
      </c>
      <c r="Q77" s="119">
        <f t="shared" si="19"/>
        <v>14952.736</v>
      </c>
      <c r="R77" s="52">
        <f t="shared" si="15"/>
        <v>58536.072</v>
      </c>
      <c r="S77" s="120">
        <f t="shared" si="16"/>
        <v>86510.90645645231</v>
      </c>
    </row>
    <row r="78" spans="1:19" ht="15.75">
      <c r="A78" s="35">
        <v>1</v>
      </c>
      <c r="B78" s="1" t="s">
        <v>401</v>
      </c>
      <c r="C78" s="35" t="s">
        <v>388</v>
      </c>
      <c r="D78" s="50">
        <v>474.5</v>
      </c>
      <c r="E78" s="51">
        <f>E84/D84*D78</f>
        <v>63703.06486263107</v>
      </c>
      <c r="F78" s="1"/>
      <c r="G78" s="2"/>
      <c r="H78" s="112">
        <v>0.47</v>
      </c>
      <c r="I78" s="113">
        <f t="shared" si="17"/>
        <v>2453.165</v>
      </c>
      <c r="J78" s="112" t="s">
        <v>433</v>
      </c>
      <c r="K78" s="114">
        <f t="shared" si="18"/>
        <v>17471.09</v>
      </c>
      <c r="L78" s="115">
        <v>0</v>
      </c>
      <c r="M78" s="121">
        <f t="shared" si="20"/>
        <v>0</v>
      </c>
      <c r="N78" s="115">
        <v>0</v>
      </c>
      <c r="O78" s="117">
        <f t="shared" si="21"/>
        <v>0</v>
      </c>
      <c r="P78" s="118" t="s">
        <v>431</v>
      </c>
      <c r="Q78" s="119">
        <f t="shared" si="19"/>
        <v>6567.08</v>
      </c>
      <c r="R78" s="52">
        <f t="shared" si="15"/>
        <v>26491.335</v>
      </c>
      <c r="S78" s="120">
        <f t="shared" si="16"/>
        <v>37211.72986263107</v>
      </c>
    </row>
    <row r="79" spans="1:19" ht="15.75">
      <c r="A79" s="35">
        <v>5</v>
      </c>
      <c r="B79" s="1" t="s">
        <v>402</v>
      </c>
      <c r="C79" s="35" t="s">
        <v>403</v>
      </c>
      <c r="D79" s="50">
        <v>475.7</v>
      </c>
      <c r="E79" s="51">
        <f>E84/D84*D79</f>
        <v>63864.1685040118</v>
      </c>
      <c r="F79" s="1"/>
      <c r="G79" s="2"/>
      <c r="H79" s="112">
        <v>0.27</v>
      </c>
      <c r="I79" s="113">
        <f t="shared" si="17"/>
        <v>1412.829</v>
      </c>
      <c r="J79" s="112" t="s">
        <v>433</v>
      </c>
      <c r="K79" s="114">
        <f t="shared" si="18"/>
        <v>17515.274</v>
      </c>
      <c r="L79" s="115">
        <v>0</v>
      </c>
      <c r="M79" s="121">
        <f t="shared" si="20"/>
        <v>0</v>
      </c>
      <c r="N79" s="115">
        <v>0</v>
      </c>
      <c r="O79" s="117">
        <f t="shared" si="21"/>
        <v>0</v>
      </c>
      <c r="P79" s="118" t="s">
        <v>431</v>
      </c>
      <c r="Q79" s="119">
        <f t="shared" si="19"/>
        <v>6583.687999999999</v>
      </c>
      <c r="R79" s="52">
        <f t="shared" si="15"/>
        <v>25511.791</v>
      </c>
      <c r="S79" s="120">
        <f t="shared" si="16"/>
        <v>38352.377504011805</v>
      </c>
    </row>
    <row r="80" spans="1:19" ht="15.75">
      <c r="A80" s="35">
        <v>6</v>
      </c>
      <c r="B80" s="1" t="s">
        <v>404</v>
      </c>
      <c r="C80" s="35" t="s">
        <v>388</v>
      </c>
      <c r="D80" s="50">
        <v>1121.1</v>
      </c>
      <c r="E80" s="51">
        <f>E84/D84*D80</f>
        <v>150511.07695994878</v>
      </c>
      <c r="F80" s="1"/>
      <c r="G80" s="2"/>
      <c r="H80" s="112">
        <v>0.38</v>
      </c>
      <c r="I80" s="113">
        <f t="shared" si="17"/>
        <v>4686.197999999999</v>
      </c>
      <c r="J80" s="112" t="s">
        <v>433</v>
      </c>
      <c r="K80" s="114">
        <f t="shared" si="18"/>
        <v>41278.901999999995</v>
      </c>
      <c r="L80" s="115">
        <v>0</v>
      </c>
      <c r="M80" s="121">
        <f t="shared" si="20"/>
        <v>0</v>
      </c>
      <c r="N80" s="115">
        <v>0</v>
      </c>
      <c r="O80" s="117">
        <f t="shared" si="21"/>
        <v>0</v>
      </c>
      <c r="P80" s="118" t="s">
        <v>431</v>
      </c>
      <c r="Q80" s="119">
        <f t="shared" si="19"/>
        <v>15516.023999999998</v>
      </c>
      <c r="R80" s="52">
        <f t="shared" si="15"/>
        <v>61481.12399999999</v>
      </c>
      <c r="S80" s="120">
        <f t="shared" si="16"/>
        <v>89029.9529599488</v>
      </c>
    </row>
    <row r="81" spans="1:19" ht="15.75">
      <c r="A81" s="35">
        <v>7</v>
      </c>
      <c r="B81" s="1" t="s">
        <v>405</v>
      </c>
      <c r="C81" s="35" t="s">
        <v>388</v>
      </c>
      <c r="D81" s="50">
        <v>821.6</v>
      </c>
      <c r="E81" s="51">
        <f>E84/D84*D81</f>
        <v>110302.29313200778</v>
      </c>
      <c r="F81" s="1"/>
      <c r="G81" s="2"/>
      <c r="H81" s="112">
        <v>0.48</v>
      </c>
      <c r="I81" s="113">
        <f t="shared" si="17"/>
        <v>4338.048</v>
      </c>
      <c r="J81" s="112" t="s">
        <v>433</v>
      </c>
      <c r="K81" s="114">
        <f t="shared" si="18"/>
        <v>30251.311999999998</v>
      </c>
      <c r="L81" s="115">
        <v>0</v>
      </c>
      <c r="M81" s="121">
        <f t="shared" si="20"/>
        <v>0</v>
      </c>
      <c r="N81" s="115">
        <v>0</v>
      </c>
      <c r="O81" s="117">
        <f t="shared" si="21"/>
        <v>0</v>
      </c>
      <c r="P81" s="118" t="s">
        <v>431</v>
      </c>
      <c r="Q81" s="119">
        <f t="shared" si="19"/>
        <v>11370.944</v>
      </c>
      <c r="R81" s="52">
        <f t="shared" si="15"/>
        <v>45960.304000000004</v>
      </c>
      <c r="S81" s="120">
        <f t="shared" si="16"/>
        <v>64341.98913200777</v>
      </c>
    </row>
    <row r="82" spans="1:19" ht="15.75">
      <c r="A82" s="35">
        <v>3</v>
      </c>
      <c r="B82" s="1" t="s">
        <v>406</v>
      </c>
      <c r="C82" s="35" t="s">
        <v>388</v>
      </c>
      <c r="D82" s="50">
        <v>1047.6</v>
      </c>
      <c r="E82" s="51">
        <f>E84/D84*D82</f>
        <v>140643.47892537893</v>
      </c>
      <c r="F82" s="1"/>
      <c r="G82" s="2"/>
      <c r="H82" s="112">
        <v>0.38</v>
      </c>
      <c r="I82" s="113">
        <f t="shared" si="17"/>
        <v>4378.968</v>
      </c>
      <c r="J82" s="112" t="s">
        <v>433</v>
      </c>
      <c r="K82" s="114">
        <f t="shared" si="18"/>
        <v>38572.632</v>
      </c>
      <c r="L82" s="115">
        <v>0</v>
      </c>
      <c r="M82" s="121">
        <f t="shared" si="20"/>
        <v>0</v>
      </c>
      <c r="N82" s="115">
        <v>0</v>
      </c>
      <c r="O82" s="117">
        <f t="shared" si="21"/>
        <v>0</v>
      </c>
      <c r="P82" s="118" t="s">
        <v>431</v>
      </c>
      <c r="Q82" s="119">
        <f t="shared" si="19"/>
        <v>14498.784</v>
      </c>
      <c r="R82" s="52">
        <f t="shared" si="15"/>
        <v>57450.384</v>
      </c>
      <c r="S82" s="120">
        <f t="shared" si="16"/>
        <v>83193.09492537894</v>
      </c>
    </row>
    <row r="83" spans="1:19" ht="15.75">
      <c r="A83" s="35">
        <v>4</v>
      </c>
      <c r="B83" s="1" t="s">
        <v>407</v>
      </c>
      <c r="C83" s="35" t="s">
        <v>388</v>
      </c>
      <c r="D83" s="50">
        <v>293.2</v>
      </c>
      <c r="E83" s="51">
        <f>E84/D84*D83</f>
        <v>39362.98971069216</v>
      </c>
      <c r="F83" s="1"/>
      <c r="G83" s="2"/>
      <c r="H83" s="112">
        <v>0.45</v>
      </c>
      <c r="I83" s="113">
        <f t="shared" si="17"/>
        <v>1451.34</v>
      </c>
      <c r="J83" s="112" t="s">
        <v>433</v>
      </c>
      <c r="K83" s="114">
        <f t="shared" si="18"/>
        <v>10795.624</v>
      </c>
      <c r="L83" s="115">
        <v>0</v>
      </c>
      <c r="M83" s="121">
        <f t="shared" si="20"/>
        <v>0</v>
      </c>
      <c r="N83" s="115">
        <v>0</v>
      </c>
      <c r="O83" s="117">
        <f t="shared" si="21"/>
        <v>0</v>
      </c>
      <c r="P83" s="118" t="s">
        <v>431</v>
      </c>
      <c r="Q83" s="119">
        <f t="shared" si="19"/>
        <v>4057.888</v>
      </c>
      <c r="R83" s="52">
        <f t="shared" si="15"/>
        <v>16304.851999999999</v>
      </c>
      <c r="S83" s="120">
        <f t="shared" si="16"/>
        <v>23058.137710692165</v>
      </c>
    </row>
    <row r="84" spans="1:21" s="96" customFormat="1" ht="18">
      <c r="A84" s="92"/>
      <c r="B84" s="93" t="s">
        <v>408</v>
      </c>
      <c r="C84" s="92"/>
      <c r="D84" s="94">
        <f>SUM(D65:D83)</f>
        <v>19794.139999999996</v>
      </c>
      <c r="E84" s="56">
        <v>2657423.36</v>
      </c>
      <c r="F84" s="27"/>
      <c r="G84" s="122"/>
      <c r="H84" s="95"/>
      <c r="I84" s="58">
        <f>SUM(I65:I83)</f>
        <v>75968.01079999999</v>
      </c>
      <c r="J84" s="95"/>
      <c r="K84" s="59">
        <f>SUM(K65:K83)</f>
        <v>728820.2347999999</v>
      </c>
      <c r="L84" s="95"/>
      <c r="M84" s="59">
        <f>SUM(M65:M83)</f>
        <v>14705.547999999999</v>
      </c>
      <c r="N84" s="95"/>
      <c r="O84" s="59">
        <f>SUM(O65:O83)</f>
        <v>23608.52</v>
      </c>
      <c r="P84" s="95"/>
      <c r="Q84" s="59">
        <f>SUM(Q65:Q83)</f>
        <v>273950.89759999997</v>
      </c>
      <c r="R84" s="60">
        <f>SUM(R65:R83)</f>
        <v>1117053.2112</v>
      </c>
      <c r="S84" s="126">
        <f>SUM(S65:S83)</f>
        <v>1540370.1488000005</v>
      </c>
      <c r="T84" s="127"/>
      <c r="U84" s="127"/>
    </row>
    <row r="85" spans="5:21" ht="18">
      <c r="E85" s="97" t="s">
        <v>435</v>
      </c>
      <c r="S85" s="124" t="s">
        <v>436</v>
      </c>
      <c r="T85" s="127"/>
      <c r="U85" s="127"/>
    </row>
    <row r="88" spans="1:4" ht="15">
      <c r="A88" s="222" t="s">
        <v>367</v>
      </c>
      <c r="B88" s="222"/>
      <c r="C88" s="222"/>
      <c r="D88" s="222"/>
    </row>
    <row r="89" spans="2:12" ht="15">
      <c r="B89" s="97"/>
      <c r="C89" s="97"/>
      <c r="D89" s="97"/>
      <c r="I89" s="223" t="s">
        <v>447</v>
      </c>
      <c r="J89" s="224"/>
      <c r="K89" s="224"/>
      <c r="L89" s="224"/>
    </row>
    <row r="90" spans="1:20" ht="15.75">
      <c r="A90" s="37" t="s">
        <v>369</v>
      </c>
      <c r="B90" s="37" t="s">
        <v>370</v>
      </c>
      <c r="C90" s="37" t="s">
        <v>371</v>
      </c>
      <c r="D90" s="37" t="s">
        <v>372</v>
      </c>
      <c r="E90" s="61" t="s">
        <v>373</v>
      </c>
      <c r="F90" s="41"/>
      <c r="G90" s="41"/>
      <c r="H90" s="102" t="s">
        <v>376</v>
      </c>
      <c r="I90" s="103" t="s">
        <v>375</v>
      </c>
      <c r="J90" s="102" t="s">
        <v>377</v>
      </c>
      <c r="K90" s="103" t="s">
        <v>375</v>
      </c>
      <c r="L90" s="102" t="s">
        <v>378</v>
      </c>
      <c r="M90" s="103" t="s">
        <v>375</v>
      </c>
      <c r="N90" s="102" t="s">
        <v>379</v>
      </c>
      <c r="O90" s="103" t="s">
        <v>375</v>
      </c>
      <c r="P90" s="102" t="s">
        <v>427</v>
      </c>
      <c r="Q90" s="103" t="s">
        <v>375</v>
      </c>
      <c r="R90" s="104" t="s">
        <v>384</v>
      </c>
      <c r="S90" s="105" t="s">
        <v>366</v>
      </c>
      <c r="T90" s="171" t="s">
        <v>451</v>
      </c>
    </row>
    <row r="91" spans="1:20" ht="15.75">
      <c r="A91" s="47"/>
      <c r="B91" s="47"/>
      <c r="C91" s="47"/>
      <c r="D91" s="47"/>
      <c r="E91" s="67"/>
      <c r="F91" s="11"/>
      <c r="G91" s="67"/>
      <c r="H91" s="11"/>
      <c r="I91" s="67">
        <v>44166</v>
      </c>
      <c r="J91" s="11"/>
      <c r="K91" s="67">
        <v>44166</v>
      </c>
      <c r="L91" s="11" t="s">
        <v>382</v>
      </c>
      <c r="M91" s="67">
        <v>44166</v>
      </c>
      <c r="N91" s="11"/>
      <c r="O91" s="67">
        <v>44166</v>
      </c>
      <c r="P91" s="106"/>
      <c r="Q91" s="67">
        <v>44166</v>
      </c>
      <c r="R91" s="48" t="s">
        <v>428</v>
      </c>
      <c r="S91" s="107" t="s">
        <v>383</v>
      </c>
      <c r="T91" s="172" t="s">
        <v>452</v>
      </c>
    </row>
    <row r="92" spans="1:20" ht="15.75">
      <c r="A92" s="47"/>
      <c r="B92" s="47"/>
      <c r="C92" s="47"/>
      <c r="D92" s="47"/>
      <c r="E92" s="67"/>
      <c r="F92" s="11"/>
      <c r="G92" s="67"/>
      <c r="H92" s="11"/>
      <c r="I92" s="67">
        <v>44501</v>
      </c>
      <c r="J92" s="11"/>
      <c r="K92" s="67">
        <v>44501</v>
      </c>
      <c r="L92" s="11"/>
      <c r="M92" s="67">
        <v>44501</v>
      </c>
      <c r="N92" s="11"/>
      <c r="O92" s="67">
        <v>44501</v>
      </c>
      <c r="P92" s="106"/>
      <c r="Q92" s="67">
        <v>44501</v>
      </c>
      <c r="R92" s="99" t="s">
        <v>429</v>
      </c>
      <c r="S92" s="107" t="s">
        <v>385</v>
      </c>
      <c r="T92" s="173">
        <v>0.01</v>
      </c>
    </row>
    <row r="93" spans="1:20" ht="33" customHeight="1">
      <c r="A93" s="38"/>
      <c r="B93" s="38"/>
      <c r="C93" s="38"/>
      <c r="D93" s="38"/>
      <c r="E93" s="38"/>
      <c r="F93" s="43"/>
      <c r="G93" s="108"/>
      <c r="H93" s="43"/>
      <c r="I93" s="43" t="s">
        <v>444</v>
      </c>
      <c r="J93" s="43"/>
      <c r="K93" s="43" t="s">
        <v>444</v>
      </c>
      <c r="L93" s="109"/>
      <c r="M93" s="43" t="s">
        <v>444</v>
      </c>
      <c r="N93" s="109"/>
      <c r="O93" s="43" t="s">
        <v>444</v>
      </c>
      <c r="P93" s="145">
        <v>1.33</v>
      </c>
      <c r="Q93" s="43" t="s">
        <v>444</v>
      </c>
      <c r="R93" s="38"/>
      <c r="S93" s="111" t="s">
        <v>446</v>
      </c>
      <c r="T93" s="174" t="s">
        <v>453</v>
      </c>
    </row>
    <row r="94" spans="1:20" ht="15.75">
      <c r="A94" s="35">
        <v>8</v>
      </c>
      <c r="B94" s="1" t="s">
        <v>387</v>
      </c>
      <c r="C94" s="35" t="s">
        <v>388</v>
      </c>
      <c r="D94" s="50">
        <v>738.8</v>
      </c>
      <c r="E94" s="51">
        <f>E113/D113*D94</f>
        <v>130550.70509736723</v>
      </c>
      <c r="F94" s="1"/>
      <c r="G94" s="2"/>
      <c r="H94" s="112">
        <v>0.54</v>
      </c>
      <c r="I94" s="113">
        <f>H94*D94*12</f>
        <v>4787.424</v>
      </c>
      <c r="J94" s="112">
        <v>3.56</v>
      </c>
      <c r="K94" s="114">
        <f>D94*J94*12</f>
        <v>31561.535999999996</v>
      </c>
      <c r="L94" s="115">
        <v>0.49</v>
      </c>
      <c r="M94" s="116">
        <f>D94*L94*11</f>
        <v>3982.1319999999996</v>
      </c>
      <c r="N94" s="115">
        <v>0.81</v>
      </c>
      <c r="O94" s="117">
        <f>D94*N94*12</f>
        <v>7181.136</v>
      </c>
      <c r="P94" s="146">
        <v>1.33</v>
      </c>
      <c r="Q94" s="147">
        <f aca="true" t="shared" si="22" ref="Q94:Q112">D94*P94*12</f>
        <v>11791.248</v>
      </c>
      <c r="R94" s="52">
        <f>G94+I94+K94+M94+O94+Q94</f>
        <v>59303.475999999995</v>
      </c>
      <c r="S94" s="120">
        <f aca="true" t="shared" si="23" ref="S94:S112">E94-R94</f>
        <v>71247.22909736724</v>
      </c>
      <c r="T94" s="170">
        <f>S94*0.01</f>
        <v>712.4722909736723</v>
      </c>
    </row>
    <row r="95" spans="1:20" ht="15.75">
      <c r="A95" s="35">
        <v>9</v>
      </c>
      <c r="B95" s="1" t="s">
        <v>389</v>
      </c>
      <c r="C95" s="35" t="s">
        <v>388</v>
      </c>
      <c r="D95" s="50">
        <v>821.5</v>
      </c>
      <c r="E95" s="51">
        <f>E113/D113*D95</f>
        <v>145164.32625539682</v>
      </c>
      <c r="F95" s="1"/>
      <c r="G95" s="2"/>
      <c r="H95" s="112">
        <v>0.6</v>
      </c>
      <c r="I95" s="113">
        <f aca="true" t="shared" si="24" ref="I95:I112">H95*D95*12</f>
        <v>5914.799999999999</v>
      </c>
      <c r="J95" s="112">
        <v>3.56</v>
      </c>
      <c r="K95" s="114">
        <f aca="true" t="shared" si="25" ref="K95:K112">D95*J95*12</f>
        <v>35094.479999999996</v>
      </c>
      <c r="L95" s="115">
        <v>0</v>
      </c>
      <c r="M95" s="116">
        <f>L95*D95*36</f>
        <v>0</v>
      </c>
      <c r="N95" s="115">
        <v>0</v>
      </c>
      <c r="O95" s="117">
        <f>N95*D95*36</f>
        <v>0</v>
      </c>
      <c r="P95" s="146">
        <v>1.33</v>
      </c>
      <c r="Q95" s="147">
        <f t="shared" si="22"/>
        <v>13111.14</v>
      </c>
      <c r="R95" s="52">
        <f>G95+I95+K95+M95+O95+Q95</f>
        <v>54120.42</v>
      </c>
      <c r="S95" s="120">
        <f t="shared" si="23"/>
        <v>91043.90625539683</v>
      </c>
      <c r="T95" s="170">
        <f aca="true" t="shared" si="26" ref="T95:T112">S95*0.01</f>
        <v>910.4390625539683</v>
      </c>
    </row>
    <row r="96" spans="1:20" ht="15.75">
      <c r="A96" s="35">
        <v>10</v>
      </c>
      <c r="B96" s="1" t="s">
        <v>390</v>
      </c>
      <c r="C96" s="35" t="s">
        <v>388</v>
      </c>
      <c r="D96" s="50">
        <v>2105.6</v>
      </c>
      <c r="E96" s="51">
        <f>E113/D113*D96</f>
        <v>372073.04365595075</v>
      </c>
      <c r="F96" s="1"/>
      <c r="G96" s="2"/>
      <c r="H96" s="112">
        <v>0.32</v>
      </c>
      <c r="I96" s="113">
        <f t="shared" si="24"/>
        <v>8085.504000000001</v>
      </c>
      <c r="J96" s="112">
        <v>3.56</v>
      </c>
      <c r="K96" s="114">
        <f t="shared" si="25"/>
        <v>89951.23199999999</v>
      </c>
      <c r="L96" s="115">
        <v>0.49</v>
      </c>
      <c r="M96" s="116">
        <f>D96*L96*11</f>
        <v>11349.184</v>
      </c>
      <c r="N96" s="115">
        <v>0.81</v>
      </c>
      <c r="O96" s="117">
        <f>D96*0.74*7+D96*0.78*4</f>
        <v>17476.48</v>
      </c>
      <c r="P96" s="146">
        <v>1.33</v>
      </c>
      <c r="Q96" s="147">
        <f t="shared" si="22"/>
        <v>33605.376</v>
      </c>
      <c r="R96" s="52">
        <f aca="true" t="shared" si="27" ref="R96:R112">G96+I96+K96+M96+O96+Q96</f>
        <v>160467.77599999998</v>
      </c>
      <c r="S96" s="120">
        <f t="shared" si="23"/>
        <v>211605.26765595077</v>
      </c>
      <c r="T96" s="170">
        <f t="shared" si="26"/>
        <v>2116.0526765595077</v>
      </c>
    </row>
    <row r="97" spans="1:20" ht="15.75">
      <c r="A97" s="35">
        <v>11</v>
      </c>
      <c r="B97" s="1" t="s">
        <v>391</v>
      </c>
      <c r="C97" s="35" t="s">
        <v>388</v>
      </c>
      <c r="D97" s="50">
        <v>1711.7</v>
      </c>
      <c r="E97" s="51">
        <f>E113/D113*D97</f>
        <v>302468.38375089807</v>
      </c>
      <c r="F97" s="1"/>
      <c r="G97" s="2"/>
      <c r="H97" s="112">
        <v>0.24</v>
      </c>
      <c r="I97" s="113">
        <f t="shared" si="24"/>
        <v>4929.696</v>
      </c>
      <c r="J97" s="112">
        <v>3.56</v>
      </c>
      <c r="K97" s="114">
        <f t="shared" si="25"/>
        <v>73123.824</v>
      </c>
      <c r="L97" s="115">
        <v>0</v>
      </c>
      <c r="M97" s="121">
        <f aca="true" t="shared" si="28" ref="M97:M112">L97*D97*36</f>
        <v>0</v>
      </c>
      <c r="N97" s="115">
        <v>0</v>
      </c>
      <c r="O97" s="117">
        <f aca="true" t="shared" si="29" ref="O97:O112">N97*D97*36</f>
        <v>0</v>
      </c>
      <c r="P97" s="146">
        <v>1.33</v>
      </c>
      <c r="Q97" s="147">
        <f t="shared" si="22"/>
        <v>27318.732000000004</v>
      </c>
      <c r="R97" s="52">
        <f t="shared" si="27"/>
        <v>105372.252</v>
      </c>
      <c r="S97" s="120">
        <f t="shared" si="23"/>
        <v>197096.1317508981</v>
      </c>
      <c r="T97" s="170">
        <f t="shared" si="26"/>
        <v>1970.961317508981</v>
      </c>
    </row>
    <row r="98" spans="1:20" ht="15.75">
      <c r="A98" s="35">
        <v>12</v>
      </c>
      <c r="B98" s="1" t="s">
        <v>392</v>
      </c>
      <c r="C98" s="35" t="s">
        <v>388</v>
      </c>
      <c r="D98" s="50">
        <v>932.7</v>
      </c>
      <c r="E98" s="51">
        <f>E113/D113*D98</f>
        <v>164814.08046063132</v>
      </c>
      <c r="F98" s="1"/>
      <c r="G98" s="2"/>
      <c r="H98" s="112">
        <v>0.3</v>
      </c>
      <c r="I98" s="113">
        <f t="shared" si="24"/>
        <v>3357.7200000000003</v>
      </c>
      <c r="J98" s="112">
        <v>3.56</v>
      </c>
      <c r="K98" s="114">
        <f t="shared" si="25"/>
        <v>39844.944</v>
      </c>
      <c r="L98" s="115">
        <v>0</v>
      </c>
      <c r="M98" s="121">
        <f t="shared" si="28"/>
        <v>0</v>
      </c>
      <c r="N98" s="115">
        <v>0</v>
      </c>
      <c r="O98" s="117">
        <f t="shared" si="29"/>
        <v>0</v>
      </c>
      <c r="P98" s="146">
        <v>1.33</v>
      </c>
      <c r="Q98" s="147">
        <f t="shared" si="22"/>
        <v>14885.892000000003</v>
      </c>
      <c r="R98" s="52">
        <f t="shared" si="27"/>
        <v>58088.55600000001</v>
      </c>
      <c r="S98" s="120">
        <f t="shared" si="23"/>
        <v>106725.5244606313</v>
      </c>
      <c r="T98" s="170">
        <f t="shared" si="26"/>
        <v>1067.255244606313</v>
      </c>
    </row>
    <row r="99" spans="1:20" ht="15.75">
      <c r="A99" s="35">
        <v>13</v>
      </c>
      <c r="B99" s="1" t="s">
        <v>393</v>
      </c>
      <c r="C99" s="35" t="s">
        <v>388</v>
      </c>
      <c r="D99" s="50">
        <v>1450.04</v>
      </c>
      <c r="E99" s="51">
        <f>E113/D113*D99</f>
        <v>256231.381184876</v>
      </c>
      <c r="F99" s="1"/>
      <c r="G99" s="2"/>
      <c r="H99" s="112">
        <v>0.27</v>
      </c>
      <c r="I99" s="113">
        <f t="shared" si="24"/>
        <v>4698.1296</v>
      </c>
      <c r="J99" s="112">
        <v>3.56</v>
      </c>
      <c r="K99" s="114">
        <f t="shared" si="25"/>
        <v>61945.70879999999</v>
      </c>
      <c r="L99" s="115">
        <v>0</v>
      </c>
      <c r="M99" s="121">
        <f t="shared" si="28"/>
        <v>0</v>
      </c>
      <c r="N99" s="115">
        <v>0</v>
      </c>
      <c r="O99" s="117">
        <f t="shared" si="29"/>
        <v>0</v>
      </c>
      <c r="P99" s="146">
        <v>1.33</v>
      </c>
      <c r="Q99" s="147">
        <f t="shared" si="22"/>
        <v>23142.6384</v>
      </c>
      <c r="R99" s="52">
        <f t="shared" si="27"/>
        <v>89786.47679999999</v>
      </c>
      <c r="S99" s="120">
        <f t="shared" si="23"/>
        <v>166444.90438487602</v>
      </c>
      <c r="T99" s="170">
        <f t="shared" si="26"/>
        <v>1664.4490438487603</v>
      </c>
    </row>
    <row r="100" spans="1:20" ht="15.75">
      <c r="A100" s="35">
        <v>16</v>
      </c>
      <c r="B100" s="1" t="s">
        <v>394</v>
      </c>
      <c r="C100" s="35" t="s">
        <v>388</v>
      </c>
      <c r="D100" s="50">
        <v>1351.9</v>
      </c>
      <c r="E100" s="51">
        <f>E113/D113*D100</f>
        <v>238889.41286022033</v>
      </c>
      <c r="F100" s="1"/>
      <c r="G100" s="2"/>
      <c r="H100" s="112">
        <v>0.31</v>
      </c>
      <c r="I100" s="113">
        <f t="shared" si="24"/>
        <v>5029.068</v>
      </c>
      <c r="J100" s="112">
        <v>3.56</v>
      </c>
      <c r="K100" s="114">
        <f t="shared" si="25"/>
        <v>57753.168000000005</v>
      </c>
      <c r="L100" s="115">
        <v>0</v>
      </c>
      <c r="M100" s="121">
        <f t="shared" si="28"/>
        <v>0</v>
      </c>
      <c r="N100" s="115">
        <v>0</v>
      </c>
      <c r="O100" s="117">
        <f t="shared" si="29"/>
        <v>0</v>
      </c>
      <c r="P100" s="146">
        <v>1.33</v>
      </c>
      <c r="Q100" s="147">
        <f t="shared" si="22"/>
        <v>21576.324000000004</v>
      </c>
      <c r="R100" s="52">
        <f t="shared" si="27"/>
        <v>84358.56000000001</v>
      </c>
      <c r="S100" s="120">
        <f t="shared" si="23"/>
        <v>154530.8528602203</v>
      </c>
      <c r="T100" s="170">
        <f t="shared" si="26"/>
        <v>1545.308528602203</v>
      </c>
    </row>
    <row r="101" spans="1:20" ht="15.75">
      <c r="A101" s="35">
        <v>14</v>
      </c>
      <c r="B101" s="1" t="s">
        <v>395</v>
      </c>
      <c r="C101" s="35" t="s">
        <v>388</v>
      </c>
      <c r="D101" s="50">
        <v>1147.5</v>
      </c>
      <c r="E101" s="51">
        <f>E113/D113*D101</f>
        <v>202770.62005851232</v>
      </c>
      <c r="F101" s="1"/>
      <c r="G101" s="2"/>
      <c r="H101" s="112">
        <v>0.35</v>
      </c>
      <c r="I101" s="113">
        <f t="shared" si="24"/>
        <v>4819.5</v>
      </c>
      <c r="J101" s="112">
        <v>3.56</v>
      </c>
      <c r="K101" s="114">
        <f t="shared" si="25"/>
        <v>49021.2</v>
      </c>
      <c r="L101" s="115">
        <v>0</v>
      </c>
      <c r="M101" s="121">
        <f t="shared" si="28"/>
        <v>0</v>
      </c>
      <c r="N101" s="115">
        <v>0</v>
      </c>
      <c r="O101" s="117">
        <f t="shared" si="29"/>
        <v>0</v>
      </c>
      <c r="P101" s="146">
        <v>1.33</v>
      </c>
      <c r="Q101" s="147">
        <f t="shared" si="22"/>
        <v>18314.100000000002</v>
      </c>
      <c r="R101" s="52">
        <f t="shared" si="27"/>
        <v>72154.8</v>
      </c>
      <c r="S101" s="120">
        <f t="shared" si="23"/>
        <v>130615.82005851231</v>
      </c>
      <c r="T101" s="170">
        <f t="shared" si="26"/>
        <v>1306.158200585123</v>
      </c>
    </row>
    <row r="102" spans="1:20" ht="15.75">
      <c r="A102" s="35">
        <v>15</v>
      </c>
      <c r="B102" s="1" t="s">
        <v>396</v>
      </c>
      <c r="C102" s="35" t="s">
        <v>388</v>
      </c>
      <c r="D102" s="50">
        <v>1350.7</v>
      </c>
      <c r="E102" s="51">
        <f>E113/D113*D102</f>
        <v>238677.36515296958</v>
      </c>
      <c r="F102" s="1"/>
      <c r="G102" s="2"/>
      <c r="H102" s="112">
        <v>0.19</v>
      </c>
      <c r="I102" s="113">
        <f t="shared" si="24"/>
        <v>3079.5960000000005</v>
      </c>
      <c r="J102" s="112">
        <v>3.56</v>
      </c>
      <c r="K102" s="114">
        <f t="shared" si="25"/>
        <v>57701.904</v>
      </c>
      <c r="L102" s="115">
        <v>0</v>
      </c>
      <c r="M102" s="121">
        <f t="shared" si="28"/>
        <v>0</v>
      </c>
      <c r="N102" s="115">
        <v>0</v>
      </c>
      <c r="O102" s="117">
        <f t="shared" si="29"/>
        <v>0</v>
      </c>
      <c r="P102" s="146">
        <v>1.33</v>
      </c>
      <c r="Q102" s="147">
        <f t="shared" si="22"/>
        <v>21557.172000000002</v>
      </c>
      <c r="R102" s="52">
        <f t="shared" si="27"/>
        <v>82338.672</v>
      </c>
      <c r="S102" s="120">
        <f t="shared" si="23"/>
        <v>156338.6931529696</v>
      </c>
      <c r="T102" s="170">
        <f t="shared" si="26"/>
        <v>1563.3869315296959</v>
      </c>
    </row>
    <row r="103" spans="1:20" ht="15.75">
      <c r="A103" s="35">
        <v>17</v>
      </c>
      <c r="B103" s="1" t="s">
        <v>397</v>
      </c>
      <c r="C103" s="1" t="s">
        <v>388</v>
      </c>
      <c r="D103" s="50">
        <v>360.7</v>
      </c>
      <c r="E103" s="51">
        <f>E113/D113*D103</f>
        <v>63738.00667111581</v>
      </c>
      <c r="F103" s="1"/>
      <c r="G103" s="2"/>
      <c r="H103" s="112">
        <v>0.7</v>
      </c>
      <c r="I103" s="113">
        <f t="shared" si="24"/>
        <v>3029.8799999999997</v>
      </c>
      <c r="J103" s="112">
        <v>3.56</v>
      </c>
      <c r="K103" s="114">
        <f t="shared" si="25"/>
        <v>15409.104</v>
      </c>
      <c r="L103" s="115">
        <v>0</v>
      </c>
      <c r="M103" s="121">
        <f t="shared" si="28"/>
        <v>0</v>
      </c>
      <c r="N103" s="115">
        <v>0</v>
      </c>
      <c r="O103" s="117">
        <f t="shared" si="29"/>
        <v>0</v>
      </c>
      <c r="P103" s="146">
        <v>1.33</v>
      </c>
      <c r="Q103" s="147">
        <f t="shared" si="22"/>
        <v>5756.772</v>
      </c>
      <c r="R103" s="52">
        <f t="shared" si="27"/>
        <v>24195.756</v>
      </c>
      <c r="S103" s="120">
        <f t="shared" si="23"/>
        <v>39542.250671115806</v>
      </c>
      <c r="T103" s="170">
        <f t="shared" si="26"/>
        <v>395.42250671115806</v>
      </c>
    </row>
    <row r="104" spans="1:20" ht="15.75">
      <c r="A104" s="35">
        <v>18</v>
      </c>
      <c r="B104" s="1" t="s">
        <v>398</v>
      </c>
      <c r="C104" s="35" t="s">
        <v>388</v>
      </c>
      <c r="D104" s="50">
        <v>1060.8</v>
      </c>
      <c r="E104" s="51">
        <f>E113/D113*D104</f>
        <v>187450.17320964692</v>
      </c>
      <c r="F104" s="1"/>
      <c r="G104" s="2"/>
      <c r="H104" s="112">
        <v>0.38</v>
      </c>
      <c r="I104" s="113">
        <f t="shared" si="24"/>
        <v>4837.248</v>
      </c>
      <c r="J104" s="112">
        <v>3.56</v>
      </c>
      <c r="K104" s="114">
        <f t="shared" si="25"/>
        <v>45317.376</v>
      </c>
      <c r="L104" s="115">
        <v>0</v>
      </c>
      <c r="M104" s="121">
        <f t="shared" si="28"/>
        <v>0</v>
      </c>
      <c r="N104" s="115">
        <v>0</v>
      </c>
      <c r="O104" s="117">
        <f t="shared" si="29"/>
        <v>0</v>
      </c>
      <c r="P104" s="146">
        <v>1.33</v>
      </c>
      <c r="Q104" s="147">
        <f t="shared" si="22"/>
        <v>16930.368000000002</v>
      </c>
      <c r="R104" s="52">
        <f t="shared" si="27"/>
        <v>67084.992</v>
      </c>
      <c r="S104" s="120">
        <f t="shared" si="23"/>
        <v>120365.18120964692</v>
      </c>
      <c r="T104" s="170">
        <f t="shared" si="26"/>
        <v>1203.6518120964693</v>
      </c>
    </row>
    <row r="105" spans="1:20" ht="15.75">
      <c r="A105" s="35">
        <v>19</v>
      </c>
      <c r="B105" s="1" t="s">
        <v>399</v>
      </c>
      <c r="C105" s="35" t="s">
        <v>388</v>
      </c>
      <c r="D105" s="50">
        <v>1448.1</v>
      </c>
      <c r="E105" s="51">
        <f>E113/D113*D105</f>
        <v>255888.57072482063</v>
      </c>
      <c r="F105" s="1"/>
      <c r="G105" s="2"/>
      <c r="H105" s="112">
        <v>0.33</v>
      </c>
      <c r="I105" s="113">
        <f t="shared" si="24"/>
        <v>5734.476</v>
      </c>
      <c r="J105" s="112">
        <v>3.56</v>
      </c>
      <c r="K105" s="114">
        <f t="shared" si="25"/>
        <v>61862.831999999995</v>
      </c>
      <c r="L105" s="115">
        <v>0</v>
      </c>
      <c r="M105" s="121">
        <f t="shared" si="28"/>
        <v>0</v>
      </c>
      <c r="N105" s="115">
        <v>0</v>
      </c>
      <c r="O105" s="117">
        <f t="shared" si="29"/>
        <v>0</v>
      </c>
      <c r="P105" s="146">
        <v>1.33</v>
      </c>
      <c r="Q105" s="147">
        <f t="shared" si="22"/>
        <v>23111.676</v>
      </c>
      <c r="R105" s="52">
        <f t="shared" si="27"/>
        <v>90708.984</v>
      </c>
      <c r="S105" s="120">
        <f t="shared" si="23"/>
        <v>165179.58672482063</v>
      </c>
      <c r="T105" s="170">
        <f t="shared" si="26"/>
        <v>1651.7958672482064</v>
      </c>
    </row>
    <row r="106" spans="1:20" ht="15.75">
      <c r="A106" s="35">
        <v>2</v>
      </c>
      <c r="B106" s="1" t="s">
        <v>400</v>
      </c>
      <c r="C106" s="35" t="s">
        <v>388</v>
      </c>
      <c r="D106" s="50">
        <v>1080.4</v>
      </c>
      <c r="E106" s="51">
        <f>E113/D113*D106</f>
        <v>190913.61909474223</v>
      </c>
      <c r="F106" s="1"/>
      <c r="G106" s="2"/>
      <c r="H106" s="112">
        <v>0.32</v>
      </c>
      <c r="I106" s="113">
        <f t="shared" si="24"/>
        <v>4148.736</v>
      </c>
      <c r="J106" s="112">
        <v>3.56</v>
      </c>
      <c r="K106" s="114">
        <f t="shared" si="25"/>
        <v>46154.688</v>
      </c>
      <c r="L106" s="115">
        <v>0</v>
      </c>
      <c r="M106" s="121">
        <f t="shared" si="28"/>
        <v>0</v>
      </c>
      <c r="N106" s="115">
        <v>0</v>
      </c>
      <c r="O106" s="117">
        <f t="shared" si="29"/>
        <v>0</v>
      </c>
      <c r="P106" s="146">
        <v>1.33</v>
      </c>
      <c r="Q106" s="147">
        <f t="shared" si="22"/>
        <v>17243.184</v>
      </c>
      <c r="R106" s="52">
        <f t="shared" si="27"/>
        <v>67546.60800000001</v>
      </c>
      <c r="S106" s="120">
        <f t="shared" si="23"/>
        <v>123367.01109474222</v>
      </c>
      <c r="T106" s="170">
        <f t="shared" si="26"/>
        <v>1233.6701109474222</v>
      </c>
    </row>
    <row r="107" spans="1:20" ht="15.75">
      <c r="A107" s="35">
        <v>1</v>
      </c>
      <c r="B107" s="1" t="s">
        <v>401</v>
      </c>
      <c r="C107" s="35" t="s">
        <v>388</v>
      </c>
      <c r="D107" s="50">
        <v>474.5</v>
      </c>
      <c r="E107" s="51">
        <f>E113/D113*D107</f>
        <v>83847.19757539354</v>
      </c>
      <c r="F107" s="1"/>
      <c r="G107" s="2"/>
      <c r="H107" s="112">
        <v>0.47</v>
      </c>
      <c r="I107" s="113">
        <f t="shared" si="24"/>
        <v>2676.18</v>
      </c>
      <c r="J107" s="112">
        <v>3.56</v>
      </c>
      <c r="K107" s="114">
        <f t="shared" si="25"/>
        <v>20270.64</v>
      </c>
      <c r="L107" s="115">
        <v>0</v>
      </c>
      <c r="M107" s="121">
        <f t="shared" si="28"/>
        <v>0</v>
      </c>
      <c r="N107" s="115">
        <v>0</v>
      </c>
      <c r="O107" s="117">
        <f t="shared" si="29"/>
        <v>0</v>
      </c>
      <c r="P107" s="146">
        <v>1.33</v>
      </c>
      <c r="Q107" s="147">
        <f t="shared" si="22"/>
        <v>7573.02</v>
      </c>
      <c r="R107" s="52">
        <f t="shared" si="27"/>
        <v>30519.84</v>
      </c>
      <c r="S107" s="120">
        <f t="shared" si="23"/>
        <v>53327.357575393544</v>
      </c>
      <c r="T107" s="170">
        <f t="shared" si="26"/>
        <v>533.2735757539355</v>
      </c>
    </row>
    <row r="108" spans="1:20" ht="15.75">
      <c r="A108" s="35">
        <v>5</v>
      </c>
      <c r="B108" s="1" t="s">
        <v>402</v>
      </c>
      <c r="C108" s="35" t="s">
        <v>403</v>
      </c>
      <c r="D108" s="50">
        <v>475.7</v>
      </c>
      <c r="E108" s="51">
        <f>E113/D113*D108</f>
        <v>84059.24528264427</v>
      </c>
      <c r="F108" s="1"/>
      <c r="G108" s="2"/>
      <c r="H108" s="112">
        <v>0.27</v>
      </c>
      <c r="I108" s="113">
        <f t="shared" si="24"/>
        <v>1541.268</v>
      </c>
      <c r="J108" s="112">
        <v>3.56</v>
      </c>
      <c r="K108" s="114">
        <f t="shared" si="25"/>
        <v>20321.904</v>
      </c>
      <c r="L108" s="115">
        <v>0</v>
      </c>
      <c r="M108" s="121">
        <f t="shared" si="28"/>
        <v>0</v>
      </c>
      <c r="N108" s="115">
        <v>0</v>
      </c>
      <c r="O108" s="117">
        <f t="shared" si="29"/>
        <v>0</v>
      </c>
      <c r="P108" s="146">
        <v>1.33</v>
      </c>
      <c r="Q108" s="147">
        <f t="shared" si="22"/>
        <v>7592.1720000000005</v>
      </c>
      <c r="R108" s="52">
        <f t="shared" si="27"/>
        <v>29455.343999999997</v>
      </c>
      <c r="S108" s="120">
        <f t="shared" si="23"/>
        <v>54603.90128264428</v>
      </c>
      <c r="T108" s="170">
        <f t="shared" si="26"/>
        <v>546.0390128264428</v>
      </c>
    </row>
    <row r="109" spans="1:20" ht="15.75">
      <c r="A109" s="35">
        <v>6</v>
      </c>
      <c r="B109" s="1" t="s">
        <v>404</v>
      </c>
      <c r="C109" s="35" t="s">
        <v>388</v>
      </c>
      <c r="D109" s="50">
        <v>1121.1</v>
      </c>
      <c r="E109" s="51">
        <f>E113/D113*D109</f>
        <v>198105.5704989962</v>
      </c>
      <c r="F109" s="1"/>
      <c r="G109" s="2"/>
      <c r="H109" s="112">
        <v>0.38</v>
      </c>
      <c r="I109" s="113">
        <f t="shared" si="24"/>
        <v>5112.215999999999</v>
      </c>
      <c r="J109" s="112">
        <v>3.56</v>
      </c>
      <c r="K109" s="114">
        <f t="shared" si="25"/>
        <v>47893.39199999999</v>
      </c>
      <c r="L109" s="115">
        <v>0</v>
      </c>
      <c r="M109" s="121">
        <f t="shared" si="28"/>
        <v>0</v>
      </c>
      <c r="N109" s="115">
        <v>0</v>
      </c>
      <c r="O109" s="117">
        <f t="shared" si="29"/>
        <v>0</v>
      </c>
      <c r="P109" s="146">
        <v>1.33</v>
      </c>
      <c r="Q109" s="147">
        <f t="shared" si="22"/>
        <v>17892.755999999998</v>
      </c>
      <c r="R109" s="52">
        <f t="shared" si="27"/>
        <v>70898.36399999999</v>
      </c>
      <c r="S109" s="120">
        <f t="shared" si="23"/>
        <v>127207.20649899622</v>
      </c>
      <c r="T109" s="170">
        <f t="shared" si="26"/>
        <v>1272.0720649899622</v>
      </c>
    </row>
    <row r="110" spans="1:20" ht="15.75">
      <c r="A110" s="35">
        <v>7</v>
      </c>
      <c r="B110" s="1" t="s">
        <v>405</v>
      </c>
      <c r="C110" s="35" t="s">
        <v>388</v>
      </c>
      <c r="D110" s="50">
        <v>821.6</v>
      </c>
      <c r="E110" s="51">
        <f>E113/D113*D110</f>
        <v>145181.99689766773</v>
      </c>
      <c r="F110" s="1"/>
      <c r="G110" s="2"/>
      <c r="H110" s="112">
        <v>0.48</v>
      </c>
      <c r="I110" s="113">
        <f t="shared" si="24"/>
        <v>4732.416</v>
      </c>
      <c r="J110" s="112">
        <v>3.56</v>
      </c>
      <c r="K110" s="114">
        <f t="shared" si="25"/>
        <v>35098.752</v>
      </c>
      <c r="L110" s="115">
        <v>0</v>
      </c>
      <c r="M110" s="121">
        <f t="shared" si="28"/>
        <v>0</v>
      </c>
      <c r="N110" s="115">
        <v>0</v>
      </c>
      <c r="O110" s="117">
        <f t="shared" si="29"/>
        <v>0</v>
      </c>
      <c r="P110" s="146">
        <v>1.33</v>
      </c>
      <c r="Q110" s="147">
        <f t="shared" si="22"/>
        <v>13112.736</v>
      </c>
      <c r="R110" s="52">
        <f t="shared" si="27"/>
        <v>52943.903999999995</v>
      </c>
      <c r="S110" s="120">
        <f t="shared" si="23"/>
        <v>92238.09289766774</v>
      </c>
      <c r="T110" s="170">
        <f t="shared" si="26"/>
        <v>922.3809289766774</v>
      </c>
    </row>
    <row r="111" spans="1:20" ht="15.75">
      <c r="A111" s="35">
        <v>3</v>
      </c>
      <c r="B111" s="1" t="s">
        <v>406</v>
      </c>
      <c r="C111" s="35" t="s">
        <v>388</v>
      </c>
      <c r="D111" s="50">
        <v>1047.6</v>
      </c>
      <c r="E111" s="51">
        <f>E113/D113*D111</f>
        <v>185117.64842988888</v>
      </c>
      <c r="F111" s="1"/>
      <c r="G111" s="2"/>
      <c r="H111" s="112">
        <v>0.38</v>
      </c>
      <c r="I111" s="113">
        <f t="shared" si="24"/>
        <v>4777.056</v>
      </c>
      <c r="J111" s="112">
        <v>3.56</v>
      </c>
      <c r="K111" s="114">
        <f t="shared" si="25"/>
        <v>44753.471999999994</v>
      </c>
      <c r="L111" s="115">
        <v>0</v>
      </c>
      <c r="M111" s="121">
        <f t="shared" si="28"/>
        <v>0</v>
      </c>
      <c r="N111" s="115">
        <v>0</v>
      </c>
      <c r="O111" s="117">
        <f t="shared" si="29"/>
        <v>0</v>
      </c>
      <c r="P111" s="146">
        <v>1.33</v>
      </c>
      <c r="Q111" s="147">
        <f t="shared" si="22"/>
        <v>16719.696</v>
      </c>
      <c r="R111" s="52">
        <f t="shared" si="27"/>
        <v>66250.22399999999</v>
      </c>
      <c r="S111" s="120">
        <f t="shared" si="23"/>
        <v>118867.4244298889</v>
      </c>
      <c r="T111" s="170">
        <f t="shared" si="26"/>
        <v>1188.6742442988889</v>
      </c>
    </row>
    <row r="112" spans="1:20" ht="15.75">
      <c r="A112" s="35">
        <v>4</v>
      </c>
      <c r="B112" s="1" t="s">
        <v>407</v>
      </c>
      <c r="C112" s="35" t="s">
        <v>388</v>
      </c>
      <c r="D112" s="50">
        <v>293.2</v>
      </c>
      <c r="E112" s="51">
        <f>E113/D113*D112</f>
        <v>51810.323138262145</v>
      </c>
      <c r="F112" s="1"/>
      <c r="G112" s="2"/>
      <c r="H112" s="112">
        <v>0.45</v>
      </c>
      <c r="I112" s="113">
        <f t="shared" si="24"/>
        <v>1583.28</v>
      </c>
      <c r="J112" s="112">
        <v>3.56</v>
      </c>
      <c r="K112" s="114">
        <f t="shared" si="25"/>
        <v>12525.503999999999</v>
      </c>
      <c r="L112" s="115">
        <v>0</v>
      </c>
      <c r="M112" s="121">
        <f t="shared" si="28"/>
        <v>0</v>
      </c>
      <c r="N112" s="115">
        <v>0</v>
      </c>
      <c r="O112" s="117">
        <f t="shared" si="29"/>
        <v>0</v>
      </c>
      <c r="P112" s="146">
        <v>1.33</v>
      </c>
      <c r="Q112" s="147">
        <f t="shared" si="22"/>
        <v>4679.472</v>
      </c>
      <c r="R112" s="52">
        <f t="shared" si="27"/>
        <v>18788.256</v>
      </c>
      <c r="S112" s="120">
        <f t="shared" si="23"/>
        <v>33022.067138262144</v>
      </c>
      <c r="T112" s="170">
        <f t="shared" si="26"/>
        <v>330.22067138262145</v>
      </c>
    </row>
    <row r="113" spans="1:21" s="96" customFormat="1" ht="18">
      <c r="A113" s="92"/>
      <c r="B113" s="93" t="s">
        <v>408</v>
      </c>
      <c r="C113" s="92"/>
      <c r="D113" s="94">
        <f>SUM(D94:D112)</f>
        <v>19794.139999999996</v>
      </c>
      <c r="E113" s="56">
        <v>3497751.67</v>
      </c>
      <c r="F113" s="27"/>
      <c r="G113" s="122"/>
      <c r="H113" s="95"/>
      <c r="I113" s="58">
        <f>SUM(I94:I112)</f>
        <v>82874.19359999998</v>
      </c>
      <c r="J113" s="148"/>
      <c r="K113" s="149">
        <f>SUM(K94:K112)</f>
        <v>845605.6607999998</v>
      </c>
      <c r="L113" s="148"/>
      <c r="M113" s="149">
        <f>SUM(M94:M112)</f>
        <v>15331.315999999999</v>
      </c>
      <c r="N113" s="148"/>
      <c r="O113" s="149">
        <f>SUM(O94:O112)</f>
        <v>24657.616</v>
      </c>
      <c r="P113" s="148"/>
      <c r="Q113" s="149">
        <f>SUM(Q94:Q112)</f>
        <v>315914.4744</v>
      </c>
      <c r="R113" s="150">
        <f>SUM(R94:R112)</f>
        <v>1284383.2608</v>
      </c>
      <c r="S113" s="151">
        <f>SUM(S94:S112)</f>
        <v>2213368.4092000006</v>
      </c>
      <c r="T113" s="151">
        <f>SUM(T94:T112)</f>
        <v>22133.684092000007</v>
      </c>
      <c r="U113" s="175"/>
    </row>
    <row r="114" spans="5:21" ht="18">
      <c r="E114" s="97" t="s">
        <v>445</v>
      </c>
      <c r="S114" s="40"/>
      <c r="T114" s="175"/>
      <c r="U114" s="175"/>
    </row>
    <row r="115" ht="12.75">
      <c r="E115" s="97" t="s">
        <v>459</v>
      </c>
    </row>
    <row r="116" s="18" customFormat="1" ht="18">
      <c r="B116" s="185" t="s">
        <v>457</v>
      </c>
    </row>
    <row r="118" spans="2:19" ht="47.25">
      <c r="B118" s="37" t="s">
        <v>370</v>
      </c>
      <c r="C118" s="37" t="s">
        <v>371</v>
      </c>
      <c r="D118" s="37" t="s">
        <v>372</v>
      </c>
      <c r="E118" s="61" t="s">
        <v>373</v>
      </c>
      <c r="F118" s="181" t="s">
        <v>451</v>
      </c>
      <c r="G118" s="190" t="s">
        <v>458</v>
      </c>
      <c r="H118" s="102" t="s">
        <v>376</v>
      </c>
      <c r="I118" s="103" t="s">
        <v>375</v>
      </c>
      <c r="J118" s="102" t="s">
        <v>377</v>
      </c>
      <c r="K118" s="103" t="s">
        <v>375</v>
      </c>
      <c r="L118" s="102" t="s">
        <v>378</v>
      </c>
      <c r="M118" s="103" t="s">
        <v>375</v>
      </c>
      <c r="N118" s="102" t="s">
        <v>379</v>
      </c>
      <c r="O118" s="103" t="s">
        <v>375</v>
      </c>
      <c r="P118" s="102" t="s">
        <v>427</v>
      </c>
      <c r="Q118" s="103" t="s">
        <v>375</v>
      </c>
      <c r="R118" s="104" t="s">
        <v>384</v>
      </c>
      <c r="S118" s="105" t="s">
        <v>476</v>
      </c>
    </row>
    <row r="119" spans="2:19" ht="15.75">
      <c r="B119" s="47"/>
      <c r="C119" s="47"/>
      <c r="D119" s="47"/>
      <c r="E119" s="176"/>
      <c r="F119" s="179" t="s">
        <v>452</v>
      </c>
      <c r="G119" s="107" t="s">
        <v>454</v>
      </c>
      <c r="H119" s="11"/>
      <c r="I119" s="191"/>
      <c r="J119" s="11"/>
      <c r="K119" s="191"/>
      <c r="L119" s="11" t="s">
        <v>382</v>
      </c>
      <c r="M119" s="191"/>
      <c r="N119" s="11"/>
      <c r="O119" s="191"/>
      <c r="P119" s="106"/>
      <c r="Q119" s="191"/>
      <c r="R119" s="48" t="s">
        <v>428</v>
      </c>
      <c r="S119" s="107" t="s">
        <v>383</v>
      </c>
    </row>
    <row r="120" spans="2:19" ht="15.75">
      <c r="B120" s="47"/>
      <c r="C120" s="47"/>
      <c r="D120" s="47"/>
      <c r="E120" s="176"/>
      <c r="F120" s="180">
        <v>0.01</v>
      </c>
      <c r="G120" s="107" t="s">
        <v>455</v>
      </c>
      <c r="H120" s="11"/>
      <c r="I120" s="191">
        <v>2022</v>
      </c>
      <c r="J120" s="11"/>
      <c r="K120" s="191">
        <v>2022</v>
      </c>
      <c r="L120" s="11"/>
      <c r="M120" s="191">
        <v>2022</v>
      </c>
      <c r="N120" s="11"/>
      <c r="O120" s="191">
        <v>2022</v>
      </c>
      <c r="P120" s="106"/>
      <c r="Q120" s="191">
        <v>2022</v>
      </c>
      <c r="R120" s="99" t="s">
        <v>429</v>
      </c>
      <c r="S120" s="107" t="s">
        <v>385</v>
      </c>
    </row>
    <row r="121" spans="2:19" ht="47.25">
      <c r="B121" s="38"/>
      <c r="C121" s="38"/>
      <c r="D121" s="38"/>
      <c r="E121" s="177"/>
      <c r="F121" s="182" t="s">
        <v>453</v>
      </c>
      <c r="G121" s="192"/>
      <c r="H121" s="43"/>
      <c r="I121" s="43" t="s">
        <v>444</v>
      </c>
      <c r="J121" s="43"/>
      <c r="K121" s="43" t="s">
        <v>444</v>
      </c>
      <c r="L121" s="109"/>
      <c r="M121" s="43" t="s">
        <v>444</v>
      </c>
      <c r="N121" s="109"/>
      <c r="O121" s="43" t="s">
        <v>444</v>
      </c>
      <c r="P121" s="145" t="s">
        <v>472</v>
      </c>
      <c r="Q121" s="43" t="s">
        <v>444</v>
      </c>
      <c r="R121" s="38"/>
      <c r="S121" s="111" t="s">
        <v>456</v>
      </c>
    </row>
    <row r="122" spans="2:19" ht="15.75">
      <c r="B122" s="1" t="s">
        <v>387</v>
      </c>
      <c r="C122" s="35" t="s">
        <v>388</v>
      </c>
      <c r="D122" s="50">
        <v>738.8</v>
      </c>
      <c r="E122" s="51">
        <f>E141/D141*D122</f>
        <v>130797.7672666759</v>
      </c>
      <c r="F122" s="170">
        <v>712.4722909736723</v>
      </c>
      <c r="G122" s="120">
        <f>E122-F122</f>
        <v>130085.29497570223</v>
      </c>
      <c r="H122" s="112">
        <v>0.54</v>
      </c>
      <c r="I122" s="113">
        <f>H122*D122*12</f>
        <v>4787.424</v>
      </c>
      <c r="J122" s="112">
        <v>3.7</v>
      </c>
      <c r="K122" s="114">
        <f>D122*J122*12</f>
        <v>32802.72</v>
      </c>
      <c r="L122" s="115">
        <v>0.49</v>
      </c>
      <c r="M122" s="116">
        <f>D122*L122*11</f>
        <v>3982.1319999999996</v>
      </c>
      <c r="N122" s="115">
        <v>0.84</v>
      </c>
      <c r="O122" s="117">
        <f>D122*N122*12</f>
        <v>7447.103999999999</v>
      </c>
      <c r="P122" s="146" t="s">
        <v>472</v>
      </c>
      <c r="Q122" s="147">
        <f aca="true" t="shared" si="30" ref="Q122:Q140">D122*P122*12</f>
        <v>12234.527999999998</v>
      </c>
      <c r="R122" s="52">
        <f>I122+K122+M122+O122+Q122</f>
        <v>61253.907999999996</v>
      </c>
      <c r="S122" s="120">
        <f>G122-R122</f>
        <v>68831.38697570223</v>
      </c>
    </row>
    <row r="123" spans="2:19" ht="15.75">
      <c r="B123" s="1" t="s">
        <v>389</v>
      </c>
      <c r="C123" s="35" t="s">
        <v>388</v>
      </c>
      <c r="D123" s="50">
        <v>821.5</v>
      </c>
      <c r="E123" s="51">
        <f>E141/D141*D123</f>
        <v>145439.0441385683</v>
      </c>
      <c r="F123" s="170">
        <v>910.4390625539683</v>
      </c>
      <c r="G123" s="120">
        <f aca="true" t="shared" si="31" ref="G123:G140">E123-F123</f>
        <v>144528.60507601433</v>
      </c>
      <c r="H123" s="112">
        <v>0.6</v>
      </c>
      <c r="I123" s="113">
        <f aca="true" t="shared" si="32" ref="I123:I140">H123*D123*12</f>
        <v>5914.799999999999</v>
      </c>
      <c r="J123" s="112">
        <v>3.7</v>
      </c>
      <c r="K123" s="114">
        <f aca="true" t="shared" si="33" ref="K123:K140">D123*J123*12</f>
        <v>36474.600000000006</v>
      </c>
      <c r="L123" s="115">
        <v>0</v>
      </c>
      <c r="M123" s="116">
        <f>L123*D123*36</f>
        <v>0</v>
      </c>
      <c r="N123" s="115">
        <v>0</v>
      </c>
      <c r="O123" s="117">
        <f>N123*D123*36</f>
        <v>0</v>
      </c>
      <c r="P123" s="146" t="s">
        <v>472</v>
      </c>
      <c r="Q123" s="147">
        <f t="shared" si="30"/>
        <v>13604.039999999997</v>
      </c>
      <c r="R123" s="52">
        <f aca="true" t="shared" si="34" ref="R123:R140">I123+K123+M123+O123+Q123</f>
        <v>55993.44</v>
      </c>
      <c r="S123" s="120">
        <f aca="true" t="shared" si="35" ref="S123:S140">G123-R123</f>
        <v>88535.16507601432</v>
      </c>
    </row>
    <row r="124" spans="2:19" ht="15.75">
      <c r="B124" s="1" t="s">
        <v>390</v>
      </c>
      <c r="C124" s="35" t="s">
        <v>388</v>
      </c>
      <c r="D124" s="50">
        <v>2105.6</v>
      </c>
      <c r="E124" s="51">
        <f>E141/D141*D124</f>
        <v>372777.17752668215</v>
      </c>
      <c r="F124" s="170">
        <v>2116.0526765595077</v>
      </c>
      <c r="G124" s="120">
        <f t="shared" si="31"/>
        <v>370661.12485012267</v>
      </c>
      <c r="H124" s="112">
        <v>0.32</v>
      </c>
      <c r="I124" s="113">
        <f t="shared" si="32"/>
        <v>8085.504000000001</v>
      </c>
      <c r="J124" s="112">
        <v>3.7</v>
      </c>
      <c r="K124" s="114">
        <f t="shared" si="33"/>
        <v>93488.64</v>
      </c>
      <c r="L124" s="115">
        <v>0.49</v>
      </c>
      <c r="M124" s="116">
        <f>D124*L124*11</f>
        <v>11349.184</v>
      </c>
      <c r="N124" s="115">
        <v>0.84</v>
      </c>
      <c r="O124" s="117">
        <f>D124*0.74*7+D124*0.78*4</f>
        <v>17476.48</v>
      </c>
      <c r="P124" s="146" t="s">
        <v>472</v>
      </c>
      <c r="Q124" s="147">
        <f t="shared" si="30"/>
        <v>34868.736</v>
      </c>
      <c r="R124" s="52">
        <f t="shared" si="34"/>
        <v>165268.544</v>
      </c>
      <c r="S124" s="120">
        <f t="shared" si="35"/>
        <v>205392.58085012267</v>
      </c>
    </row>
    <row r="125" spans="2:19" ht="15.75">
      <c r="B125" s="1" t="s">
        <v>391</v>
      </c>
      <c r="C125" s="35" t="s">
        <v>388</v>
      </c>
      <c r="D125" s="50">
        <v>1711.7</v>
      </c>
      <c r="E125" s="51">
        <f>E141/D141*D125</f>
        <v>303040.79348994204</v>
      </c>
      <c r="F125" s="170">
        <v>1970.961317508981</v>
      </c>
      <c r="G125" s="120">
        <f t="shared" si="31"/>
        <v>301069.83217243303</v>
      </c>
      <c r="H125" s="112">
        <v>0.24</v>
      </c>
      <c r="I125" s="113">
        <f t="shared" si="32"/>
        <v>4929.696</v>
      </c>
      <c r="J125" s="112">
        <v>3.7</v>
      </c>
      <c r="K125" s="114">
        <f t="shared" si="33"/>
        <v>75999.48000000001</v>
      </c>
      <c r="L125" s="115">
        <v>0</v>
      </c>
      <c r="M125" s="121">
        <f aca="true" t="shared" si="36" ref="M125:M140">L125*D125*36</f>
        <v>0</v>
      </c>
      <c r="N125" s="115">
        <v>0</v>
      </c>
      <c r="O125" s="117">
        <f aca="true" t="shared" si="37" ref="O125:O140">N125*D125*36</f>
        <v>0</v>
      </c>
      <c r="P125" s="146" t="s">
        <v>472</v>
      </c>
      <c r="Q125" s="147">
        <f t="shared" si="30"/>
        <v>28345.751999999997</v>
      </c>
      <c r="R125" s="52">
        <f t="shared" si="34"/>
        <v>109274.928</v>
      </c>
      <c r="S125" s="120">
        <f t="shared" si="35"/>
        <v>191794.90417243302</v>
      </c>
    </row>
    <row r="126" spans="2:19" ht="15.75">
      <c r="B126" s="1" t="s">
        <v>392</v>
      </c>
      <c r="C126" s="35" t="s">
        <v>388</v>
      </c>
      <c r="D126" s="50">
        <v>932.7</v>
      </c>
      <c r="E126" s="51">
        <f>E141/D141*D126</f>
        <v>165125.98474503064</v>
      </c>
      <c r="F126" s="170">
        <v>1067.255244606313</v>
      </c>
      <c r="G126" s="120">
        <f t="shared" si="31"/>
        <v>164058.72950042432</v>
      </c>
      <c r="H126" s="112">
        <v>0.3</v>
      </c>
      <c r="I126" s="113">
        <f t="shared" si="32"/>
        <v>3357.7200000000003</v>
      </c>
      <c r="J126" s="112">
        <v>3.7</v>
      </c>
      <c r="K126" s="114">
        <f t="shared" si="33"/>
        <v>41411.880000000005</v>
      </c>
      <c r="L126" s="115">
        <v>0</v>
      </c>
      <c r="M126" s="121">
        <f t="shared" si="36"/>
        <v>0</v>
      </c>
      <c r="N126" s="115">
        <v>0</v>
      </c>
      <c r="O126" s="117">
        <f t="shared" si="37"/>
        <v>0</v>
      </c>
      <c r="P126" s="146" t="s">
        <v>472</v>
      </c>
      <c r="Q126" s="147">
        <f t="shared" si="30"/>
        <v>15445.511999999999</v>
      </c>
      <c r="R126" s="52">
        <f t="shared" si="34"/>
        <v>60215.11200000001</v>
      </c>
      <c r="S126" s="120">
        <f t="shared" si="35"/>
        <v>103843.61750042431</v>
      </c>
    </row>
    <row r="127" spans="2:19" ht="15.75">
      <c r="B127" s="1" t="s">
        <v>393</v>
      </c>
      <c r="C127" s="35" t="s">
        <v>388</v>
      </c>
      <c r="D127" s="50">
        <v>1450.04</v>
      </c>
      <c r="E127" s="51">
        <f>E141/D141*D127</f>
        <v>256716.2891816063</v>
      </c>
      <c r="F127" s="170">
        <v>1664.4490438487603</v>
      </c>
      <c r="G127" s="120">
        <f t="shared" si="31"/>
        <v>255051.84013775754</v>
      </c>
      <c r="H127" s="112">
        <v>0.27</v>
      </c>
      <c r="I127" s="113">
        <f t="shared" si="32"/>
        <v>4698.1296</v>
      </c>
      <c r="J127" s="112">
        <v>3.7</v>
      </c>
      <c r="K127" s="114">
        <f t="shared" si="33"/>
        <v>64381.776</v>
      </c>
      <c r="L127" s="115">
        <v>0</v>
      </c>
      <c r="M127" s="121">
        <f t="shared" si="36"/>
        <v>0</v>
      </c>
      <c r="N127" s="115">
        <v>0</v>
      </c>
      <c r="O127" s="117">
        <f t="shared" si="37"/>
        <v>0</v>
      </c>
      <c r="P127" s="146" t="s">
        <v>472</v>
      </c>
      <c r="Q127" s="147">
        <f t="shared" si="30"/>
        <v>24012.662399999997</v>
      </c>
      <c r="R127" s="52">
        <f t="shared" si="34"/>
        <v>93092.568</v>
      </c>
      <c r="S127" s="120">
        <f t="shared" si="35"/>
        <v>161959.27213775754</v>
      </c>
    </row>
    <row r="128" spans="2:19" ht="15.75">
      <c r="B128" s="1" t="s">
        <v>394</v>
      </c>
      <c r="C128" s="35" t="s">
        <v>388</v>
      </c>
      <c r="D128" s="50">
        <v>1351.9</v>
      </c>
      <c r="E128" s="51">
        <f>E141/D141*D128</f>
        <v>239341.50185140656</v>
      </c>
      <c r="F128" s="170">
        <v>1545.308528602203</v>
      </c>
      <c r="G128" s="120">
        <f t="shared" si="31"/>
        <v>237796.19332280435</v>
      </c>
      <c r="H128" s="112">
        <v>0.31</v>
      </c>
      <c r="I128" s="113">
        <f t="shared" si="32"/>
        <v>5029.068</v>
      </c>
      <c r="J128" s="112">
        <v>3.7</v>
      </c>
      <c r="K128" s="114">
        <f t="shared" si="33"/>
        <v>60024.36000000001</v>
      </c>
      <c r="L128" s="115">
        <v>0</v>
      </c>
      <c r="M128" s="121">
        <f t="shared" si="36"/>
        <v>0</v>
      </c>
      <c r="N128" s="115">
        <v>0</v>
      </c>
      <c r="O128" s="117">
        <f t="shared" si="37"/>
        <v>0</v>
      </c>
      <c r="P128" s="146" t="s">
        <v>472</v>
      </c>
      <c r="Q128" s="147">
        <f t="shared" si="30"/>
        <v>22387.464</v>
      </c>
      <c r="R128" s="52">
        <f t="shared" si="34"/>
        <v>87440.892</v>
      </c>
      <c r="S128" s="120">
        <f t="shared" si="35"/>
        <v>150355.30132280436</v>
      </c>
    </row>
    <row r="129" spans="2:19" ht="15.75">
      <c r="B129" s="1" t="s">
        <v>395</v>
      </c>
      <c r="C129" s="35" t="s">
        <v>388</v>
      </c>
      <c r="D129" s="50">
        <v>1147.5</v>
      </c>
      <c r="E129" s="51">
        <f>E141/D141*D129</f>
        <v>203154.3556287366</v>
      </c>
      <c r="F129" s="170">
        <v>1306.158200585123</v>
      </c>
      <c r="G129" s="120">
        <f t="shared" si="31"/>
        <v>201848.1974281515</v>
      </c>
      <c r="H129" s="112">
        <v>0.35</v>
      </c>
      <c r="I129" s="113">
        <f t="shared" si="32"/>
        <v>4819.5</v>
      </c>
      <c r="J129" s="112">
        <v>3.7</v>
      </c>
      <c r="K129" s="114">
        <f t="shared" si="33"/>
        <v>50949</v>
      </c>
      <c r="L129" s="115">
        <v>0</v>
      </c>
      <c r="M129" s="121">
        <f t="shared" si="36"/>
        <v>0</v>
      </c>
      <c r="N129" s="115">
        <v>0</v>
      </c>
      <c r="O129" s="117">
        <f t="shared" si="37"/>
        <v>0</v>
      </c>
      <c r="P129" s="146" t="s">
        <v>472</v>
      </c>
      <c r="Q129" s="147">
        <f t="shared" si="30"/>
        <v>19002.6</v>
      </c>
      <c r="R129" s="52">
        <f t="shared" si="34"/>
        <v>74771.1</v>
      </c>
      <c r="S129" s="120">
        <f t="shared" si="35"/>
        <v>127077.0974281515</v>
      </c>
    </row>
    <row r="130" spans="2:19" ht="15.75">
      <c r="B130" s="1" t="s">
        <v>396</v>
      </c>
      <c r="C130" s="35" t="s">
        <v>388</v>
      </c>
      <c r="D130" s="50">
        <v>1350.7</v>
      </c>
      <c r="E130" s="51">
        <f>E141/D141*D130</f>
        <v>239129.05285205625</v>
      </c>
      <c r="F130" s="170">
        <v>1563.3869315296959</v>
      </c>
      <c r="G130" s="120">
        <f t="shared" si="31"/>
        <v>237565.66592052655</v>
      </c>
      <c r="H130" s="112">
        <v>0.19</v>
      </c>
      <c r="I130" s="113">
        <f t="shared" si="32"/>
        <v>3079.5960000000005</v>
      </c>
      <c r="J130" s="112">
        <v>3.7</v>
      </c>
      <c r="K130" s="114">
        <f t="shared" si="33"/>
        <v>59971.08</v>
      </c>
      <c r="L130" s="115">
        <v>0</v>
      </c>
      <c r="M130" s="121">
        <f t="shared" si="36"/>
        <v>0</v>
      </c>
      <c r="N130" s="115">
        <v>0</v>
      </c>
      <c r="O130" s="117">
        <f t="shared" si="37"/>
        <v>0</v>
      </c>
      <c r="P130" s="146" t="s">
        <v>472</v>
      </c>
      <c r="Q130" s="147">
        <f t="shared" si="30"/>
        <v>22367.591999999997</v>
      </c>
      <c r="R130" s="52">
        <f t="shared" si="34"/>
        <v>85418.268</v>
      </c>
      <c r="S130" s="120">
        <f t="shared" si="35"/>
        <v>152147.39792052656</v>
      </c>
    </row>
    <row r="131" spans="2:19" ht="15.75">
      <c r="B131" s="1" t="s">
        <v>397</v>
      </c>
      <c r="C131" s="1" t="s">
        <v>388</v>
      </c>
      <c r="D131" s="50">
        <v>360.7</v>
      </c>
      <c r="E131" s="51">
        <f>E141/D141*D131</f>
        <v>63858.628388048186</v>
      </c>
      <c r="F131" s="170">
        <v>395.42250671115806</v>
      </c>
      <c r="G131" s="120">
        <f t="shared" si="31"/>
        <v>63463.20588133703</v>
      </c>
      <c r="H131" s="112">
        <v>0.7</v>
      </c>
      <c r="I131" s="113">
        <f t="shared" si="32"/>
        <v>3029.8799999999997</v>
      </c>
      <c r="J131" s="112">
        <v>3.7</v>
      </c>
      <c r="K131" s="114">
        <f t="shared" si="33"/>
        <v>16015.079999999998</v>
      </c>
      <c r="L131" s="115">
        <v>0</v>
      </c>
      <c r="M131" s="121">
        <f t="shared" si="36"/>
        <v>0</v>
      </c>
      <c r="N131" s="115">
        <v>0</v>
      </c>
      <c r="O131" s="117">
        <f t="shared" si="37"/>
        <v>0</v>
      </c>
      <c r="P131" s="146" t="s">
        <v>472</v>
      </c>
      <c r="Q131" s="147">
        <f t="shared" si="30"/>
        <v>5973.191999999999</v>
      </c>
      <c r="R131" s="52">
        <f t="shared" si="34"/>
        <v>25018.152</v>
      </c>
      <c r="S131" s="120">
        <f t="shared" si="35"/>
        <v>38445.05388133704</v>
      </c>
    </row>
    <row r="132" spans="2:19" ht="15.75">
      <c r="B132" s="1" t="s">
        <v>398</v>
      </c>
      <c r="C132" s="35" t="s">
        <v>388</v>
      </c>
      <c r="D132" s="50">
        <v>1060.8</v>
      </c>
      <c r="E132" s="51">
        <f>E141/D141*D132</f>
        <v>187804.9154256765</v>
      </c>
      <c r="F132" s="170">
        <v>1203.6518120964693</v>
      </c>
      <c r="G132" s="120">
        <f t="shared" si="31"/>
        <v>186601.26361358003</v>
      </c>
      <c r="H132" s="112">
        <v>0.38</v>
      </c>
      <c r="I132" s="113">
        <f t="shared" si="32"/>
        <v>4837.248</v>
      </c>
      <c r="J132" s="112">
        <v>3.7</v>
      </c>
      <c r="K132" s="114">
        <f t="shared" si="33"/>
        <v>47099.520000000004</v>
      </c>
      <c r="L132" s="115">
        <v>0</v>
      </c>
      <c r="M132" s="121">
        <f t="shared" si="36"/>
        <v>0</v>
      </c>
      <c r="N132" s="115">
        <v>0</v>
      </c>
      <c r="O132" s="117">
        <f t="shared" si="37"/>
        <v>0</v>
      </c>
      <c r="P132" s="146" t="s">
        <v>472</v>
      </c>
      <c r="Q132" s="147">
        <f t="shared" si="30"/>
        <v>17566.847999999998</v>
      </c>
      <c r="R132" s="52">
        <f t="shared" si="34"/>
        <v>69503.61600000001</v>
      </c>
      <c r="S132" s="120">
        <f t="shared" si="35"/>
        <v>117097.64761358002</v>
      </c>
    </row>
    <row r="133" spans="2:19" ht="15.75">
      <c r="B133" s="1" t="s">
        <v>399</v>
      </c>
      <c r="C133" s="35" t="s">
        <v>388</v>
      </c>
      <c r="D133" s="50">
        <v>1448.1</v>
      </c>
      <c r="E133" s="51">
        <f>E141/D141*D133</f>
        <v>256372.82996598995</v>
      </c>
      <c r="F133" s="170">
        <v>1651.7958672482064</v>
      </c>
      <c r="G133" s="120">
        <f t="shared" si="31"/>
        <v>254721.03409874174</v>
      </c>
      <c r="H133" s="112">
        <v>0.33</v>
      </c>
      <c r="I133" s="113">
        <f t="shared" si="32"/>
        <v>5734.476</v>
      </c>
      <c r="J133" s="112">
        <v>3.7</v>
      </c>
      <c r="K133" s="114">
        <f t="shared" si="33"/>
        <v>64295.64</v>
      </c>
      <c r="L133" s="115">
        <v>0</v>
      </c>
      <c r="M133" s="121">
        <f t="shared" si="36"/>
        <v>0</v>
      </c>
      <c r="N133" s="115">
        <v>0</v>
      </c>
      <c r="O133" s="117">
        <f t="shared" si="37"/>
        <v>0</v>
      </c>
      <c r="P133" s="146" t="s">
        <v>472</v>
      </c>
      <c r="Q133" s="147">
        <f t="shared" si="30"/>
        <v>23980.535999999996</v>
      </c>
      <c r="R133" s="52">
        <f t="shared" si="34"/>
        <v>94010.65199999999</v>
      </c>
      <c r="S133" s="120">
        <f t="shared" si="35"/>
        <v>160710.38209874177</v>
      </c>
    </row>
    <row r="134" spans="2:19" ht="15.75">
      <c r="B134" s="1" t="s">
        <v>400</v>
      </c>
      <c r="C134" s="35" t="s">
        <v>388</v>
      </c>
      <c r="D134" s="50">
        <v>1080.4</v>
      </c>
      <c r="E134" s="51">
        <f>E141/D141*D134</f>
        <v>191274.9157483983</v>
      </c>
      <c r="F134" s="170">
        <v>1233.6701109474222</v>
      </c>
      <c r="G134" s="120">
        <f t="shared" si="31"/>
        <v>190041.2456374509</v>
      </c>
      <c r="H134" s="112">
        <v>0.32</v>
      </c>
      <c r="I134" s="113">
        <f t="shared" si="32"/>
        <v>4148.736</v>
      </c>
      <c r="J134" s="112">
        <v>3.7</v>
      </c>
      <c r="K134" s="114">
        <f t="shared" si="33"/>
        <v>47969.76000000001</v>
      </c>
      <c r="L134" s="115">
        <v>0</v>
      </c>
      <c r="M134" s="121">
        <f t="shared" si="36"/>
        <v>0</v>
      </c>
      <c r="N134" s="115">
        <v>0</v>
      </c>
      <c r="O134" s="117">
        <f t="shared" si="37"/>
        <v>0</v>
      </c>
      <c r="P134" s="146" t="s">
        <v>472</v>
      </c>
      <c r="Q134" s="147">
        <f t="shared" si="30"/>
        <v>17891.424</v>
      </c>
      <c r="R134" s="52">
        <f t="shared" si="34"/>
        <v>70009.92000000001</v>
      </c>
      <c r="S134" s="120">
        <f t="shared" si="35"/>
        <v>120031.32563745088</v>
      </c>
    </row>
    <row r="135" spans="2:19" ht="15.75">
      <c r="B135" s="1" t="s">
        <v>401</v>
      </c>
      <c r="C135" s="35" t="s">
        <v>388</v>
      </c>
      <c r="D135" s="50">
        <v>474.5</v>
      </c>
      <c r="E135" s="51">
        <f>E141/D141*D135</f>
        <v>84005.87515976952</v>
      </c>
      <c r="F135" s="170">
        <v>533.2735757539355</v>
      </c>
      <c r="G135" s="120">
        <f t="shared" si="31"/>
        <v>83472.60158401559</v>
      </c>
      <c r="H135" s="112">
        <v>0.47</v>
      </c>
      <c r="I135" s="113">
        <f t="shared" si="32"/>
        <v>2676.18</v>
      </c>
      <c r="J135" s="112">
        <v>3.7</v>
      </c>
      <c r="K135" s="114">
        <f t="shared" si="33"/>
        <v>21067.800000000003</v>
      </c>
      <c r="L135" s="115">
        <v>0</v>
      </c>
      <c r="M135" s="121">
        <f t="shared" si="36"/>
        <v>0</v>
      </c>
      <c r="N135" s="115">
        <v>0</v>
      </c>
      <c r="O135" s="117">
        <f t="shared" si="37"/>
        <v>0</v>
      </c>
      <c r="P135" s="146" t="s">
        <v>472</v>
      </c>
      <c r="Q135" s="147">
        <f t="shared" si="30"/>
        <v>7857.719999999999</v>
      </c>
      <c r="R135" s="52">
        <f t="shared" si="34"/>
        <v>31601.700000000004</v>
      </c>
      <c r="S135" s="120">
        <f t="shared" si="35"/>
        <v>51870.901584015584</v>
      </c>
    </row>
    <row r="136" spans="2:19" ht="15.75">
      <c r="B136" s="1" t="s">
        <v>402</v>
      </c>
      <c r="C136" s="35" t="s">
        <v>403</v>
      </c>
      <c r="D136" s="50">
        <v>475.7</v>
      </c>
      <c r="E136" s="51">
        <f>E141/D141*D136</f>
        <v>84218.32415911983</v>
      </c>
      <c r="F136" s="170">
        <v>546.0390128264428</v>
      </c>
      <c r="G136" s="120">
        <f t="shared" si="31"/>
        <v>83672.28514629339</v>
      </c>
      <c r="H136" s="112">
        <v>0.27</v>
      </c>
      <c r="I136" s="113">
        <f t="shared" si="32"/>
        <v>1541.268</v>
      </c>
      <c r="J136" s="112">
        <v>3.7</v>
      </c>
      <c r="K136" s="114">
        <f t="shared" si="33"/>
        <v>21121.08</v>
      </c>
      <c r="L136" s="115">
        <v>0</v>
      </c>
      <c r="M136" s="121">
        <f t="shared" si="36"/>
        <v>0</v>
      </c>
      <c r="N136" s="115">
        <v>0</v>
      </c>
      <c r="O136" s="117">
        <f t="shared" si="37"/>
        <v>0</v>
      </c>
      <c r="P136" s="146" t="s">
        <v>472</v>
      </c>
      <c r="Q136" s="147">
        <f t="shared" si="30"/>
        <v>7877.591999999999</v>
      </c>
      <c r="R136" s="52">
        <f t="shared" si="34"/>
        <v>30539.940000000002</v>
      </c>
      <c r="S136" s="120">
        <f t="shared" si="35"/>
        <v>53132.34514629339</v>
      </c>
    </row>
    <row r="137" spans="2:19" ht="15.75">
      <c r="B137" s="1" t="s">
        <v>404</v>
      </c>
      <c r="C137" s="35" t="s">
        <v>388</v>
      </c>
      <c r="D137" s="50">
        <v>1121.1</v>
      </c>
      <c r="E137" s="51">
        <f>E141/D141*D137</f>
        <v>198480.4776430297</v>
      </c>
      <c r="F137" s="170">
        <v>1272.0720649899622</v>
      </c>
      <c r="G137" s="120">
        <f t="shared" si="31"/>
        <v>197208.40557803973</v>
      </c>
      <c r="H137" s="112">
        <v>0.38</v>
      </c>
      <c r="I137" s="113">
        <f t="shared" si="32"/>
        <v>5112.215999999999</v>
      </c>
      <c r="J137" s="112">
        <v>3.7</v>
      </c>
      <c r="K137" s="114">
        <f t="shared" si="33"/>
        <v>49776.84</v>
      </c>
      <c r="L137" s="115">
        <v>0</v>
      </c>
      <c r="M137" s="121">
        <f t="shared" si="36"/>
        <v>0</v>
      </c>
      <c r="N137" s="115">
        <v>0</v>
      </c>
      <c r="O137" s="117">
        <f t="shared" si="37"/>
        <v>0</v>
      </c>
      <c r="P137" s="146" t="s">
        <v>472</v>
      </c>
      <c r="Q137" s="147">
        <f t="shared" si="30"/>
        <v>18565.415999999997</v>
      </c>
      <c r="R137" s="52">
        <f t="shared" si="34"/>
        <v>73454.472</v>
      </c>
      <c r="S137" s="120">
        <f t="shared" si="35"/>
        <v>123753.93357803974</v>
      </c>
    </row>
    <row r="138" spans="2:19" ht="15.75">
      <c r="B138" s="1" t="s">
        <v>405</v>
      </c>
      <c r="C138" s="35" t="s">
        <v>388</v>
      </c>
      <c r="D138" s="50">
        <v>821.6</v>
      </c>
      <c r="E138" s="51">
        <f>E141/D141*D138</f>
        <v>145456.7482218475</v>
      </c>
      <c r="F138" s="170">
        <v>922.3809289766774</v>
      </c>
      <c r="G138" s="120">
        <f t="shared" si="31"/>
        <v>144534.36729287083</v>
      </c>
      <c r="H138" s="112">
        <v>0.48</v>
      </c>
      <c r="I138" s="113">
        <f t="shared" si="32"/>
        <v>4732.416</v>
      </c>
      <c r="J138" s="112">
        <v>3.7</v>
      </c>
      <c r="K138" s="114">
        <f t="shared" si="33"/>
        <v>36479.04</v>
      </c>
      <c r="L138" s="115">
        <v>0</v>
      </c>
      <c r="M138" s="121">
        <f t="shared" si="36"/>
        <v>0</v>
      </c>
      <c r="N138" s="115">
        <v>0</v>
      </c>
      <c r="O138" s="117">
        <f t="shared" si="37"/>
        <v>0</v>
      </c>
      <c r="P138" s="146" t="s">
        <v>472</v>
      </c>
      <c r="Q138" s="147">
        <f t="shared" si="30"/>
        <v>13605.696</v>
      </c>
      <c r="R138" s="52">
        <f t="shared" si="34"/>
        <v>54817.152</v>
      </c>
      <c r="S138" s="120">
        <f t="shared" si="35"/>
        <v>89717.21529287082</v>
      </c>
    </row>
    <row r="139" spans="2:19" ht="15.75">
      <c r="B139" s="1" t="s">
        <v>406</v>
      </c>
      <c r="C139" s="35" t="s">
        <v>388</v>
      </c>
      <c r="D139" s="50">
        <v>1047.6</v>
      </c>
      <c r="E139" s="51">
        <f>E141/D141*D139</f>
        <v>185467.97643282305</v>
      </c>
      <c r="F139" s="170">
        <v>1188.6742442988889</v>
      </c>
      <c r="G139" s="120">
        <f t="shared" si="31"/>
        <v>184279.30218852416</v>
      </c>
      <c r="H139" s="112">
        <v>0.38</v>
      </c>
      <c r="I139" s="113">
        <f t="shared" si="32"/>
        <v>4777.056</v>
      </c>
      <c r="J139" s="112">
        <v>3.7</v>
      </c>
      <c r="K139" s="114">
        <f t="shared" si="33"/>
        <v>46513.44</v>
      </c>
      <c r="L139" s="115">
        <v>0</v>
      </c>
      <c r="M139" s="121">
        <f t="shared" si="36"/>
        <v>0</v>
      </c>
      <c r="N139" s="115">
        <v>0</v>
      </c>
      <c r="O139" s="117">
        <f t="shared" si="37"/>
        <v>0</v>
      </c>
      <c r="P139" s="146" t="s">
        <v>472</v>
      </c>
      <c r="Q139" s="147">
        <f t="shared" si="30"/>
        <v>17348.255999999998</v>
      </c>
      <c r="R139" s="52">
        <f t="shared" si="34"/>
        <v>68638.752</v>
      </c>
      <c r="S139" s="120">
        <f t="shared" si="35"/>
        <v>115640.55018852417</v>
      </c>
    </row>
    <row r="140" spans="2:19" ht="15.75">
      <c r="B140" s="1" t="s">
        <v>407</v>
      </c>
      <c r="C140" s="35" t="s">
        <v>388</v>
      </c>
      <c r="D140" s="50">
        <v>293.2</v>
      </c>
      <c r="E140" s="51">
        <f>E141/D141*D140</f>
        <v>51908.37217459309</v>
      </c>
      <c r="F140" s="170">
        <v>330.22067138262145</v>
      </c>
      <c r="G140" s="120">
        <f t="shared" si="31"/>
        <v>51578.151503210465</v>
      </c>
      <c r="H140" s="112">
        <v>0.45</v>
      </c>
      <c r="I140" s="113">
        <f t="shared" si="32"/>
        <v>1583.28</v>
      </c>
      <c r="J140" s="112">
        <v>3.7</v>
      </c>
      <c r="K140" s="114">
        <f t="shared" si="33"/>
        <v>13018.079999999998</v>
      </c>
      <c r="L140" s="115">
        <v>0</v>
      </c>
      <c r="M140" s="121">
        <f t="shared" si="36"/>
        <v>0</v>
      </c>
      <c r="N140" s="115">
        <v>0</v>
      </c>
      <c r="O140" s="117">
        <f t="shared" si="37"/>
        <v>0</v>
      </c>
      <c r="P140" s="146" t="s">
        <v>472</v>
      </c>
      <c r="Q140" s="147">
        <f t="shared" si="30"/>
        <v>4855.391999999999</v>
      </c>
      <c r="R140" s="52">
        <f t="shared" si="34"/>
        <v>19456.751999999997</v>
      </c>
      <c r="S140" s="120">
        <f t="shared" si="35"/>
        <v>32121.39950321047</v>
      </c>
    </row>
    <row r="141" spans="2:19" ht="18">
      <c r="B141" s="93" t="s">
        <v>408</v>
      </c>
      <c r="C141" s="92"/>
      <c r="D141" s="94">
        <f>SUM(D122:D140)</f>
        <v>19794.139999999996</v>
      </c>
      <c r="E141" s="178">
        <v>3504371.03</v>
      </c>
      <c r="F141" s="170">
        <f>SUM(F122:F140)</f>
        <v>22133.684092000007</v>
      </c>
      <c r="G141" s="193">
        <f>SUM(G122:G140)</f>
        <v>3482237.345907999</v>
      </c>
      <c r="H141" s="95"/>
      <c r="I141" s="58">
        <f>SUM(I122:I140)</f>
        <v>82874.19359999998</v>
      </c>
      <c r="J141" s="148"/>
      <c r="K141" s="149">
        <f>SUM(K122:K140)</f>
        <v>878859.816</v>
      </c>
      <c r="L141" s="148"/>
      <c r="M141" s="149">
        <f>SUM(M122:M140)</f>
        <v>15331.315999999999</v>
      </c>
      <c r="N141" s="148"/>
      <c r="O141" s="149">
        <f>SUM(O122:O140)</f>
        <v>24923.584</v>
      </c>
      <c r="P141" s="148"/>
      <c r="Q141" s="149">
        <f>SUM(Q122:Q140)</f>
        <v>327790.95839999994</v>
      </c>
      <c r="R141" s="150">
        <f>SUM(R122:R140)</f>
        <v>1329779.8680000002</v>
      </c>
      <c r="S141" s="194">
        <f>SUM(S122:S140)</f>
        <v>2152457.4779080003</v>
      </c>
    </row>
    <row r="142" ht="12.75">
      <c r="E142" t="s">
        <v>475</v>
      </c>
    </row>
    <row r="144" spans="4:6" ht="12.75">
      <c r="D144" t="s">
        <v>474</v>
      </c>
      <c r="E144" s="97">
        <v>3504371.03</v>
      </c>
      <c r="F144" s="6" t="s">
        <v>473</v>
      </c>
    </row>
  </sheetData>
  <mergeCells count="7">
    <mergeCell ref="A88:D88"/>
    <mergeCell ref="I89:L89"/>
    <mergeCell ref="I60:L60"/>
    <mergeCell ref="A1:D1"/>
    <mergeCell ref="I31:L31"/>
    <mergeCell ref="A30:D30"/>
    <mergeCell ref="A59:D5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415"/>
  <sheetViews>
    <sheetView workbookViewId="0" topLeftCell="A1371">
      <selection activeCell="M1283" sqref="M1283"/>
    </sheetView>
  </sheetViews>
  <sheetFormatPr defaultColWidth="9.140625" defaultRowHeight="12.75"/>
  <cols>
    <col min="1" max="1" width="9.140625" style="7" customWidth="1"/>
    <col min="2" max="2" width="38.421875" style="7" customWidth="1"/>
    <col min="3" max="3" width="50.421875" style="7" customWidth="1"/>
    <col min="4" max="4" width="16.28125" style="7" customWidth="1"/>
    <col min="5" max="5" width="16.00390625" style="7" customWidth="1"/>
  </cols>
  <sheetData>
    <row r="2" spans="1:5" ht="18">
      <c r="A2" s="225" t="s">
        <v>481</v>
      </c>
      <c r="B2" s="225"/>
      <c r="C2" s="225"/>
      <c r="D2" s="225"/>
      <c r="E2" s="225"/>
    </row>
    <row r="3" spans="1:5" ht="15">
      <c r="A3" s="203"/>
      <c r="B3" s="204"/>
      <c r="C3" s="204"/>
      <c r="D3" s="198"/>
      <c r="E3" s="204"/>
    </row>
    <row r="4" spans="1:5" ht="12.75">
      <c r="A4" s="41" t="s">
        <v>482</v>
      </c>
      <c r="B4" s="41" t="s">
        <v>370</v>
      </c>
      <c r="C4" s="41" t="s">
        <v>483</v>
      </c>
      <c r="D4" s="199" t="s">
        <v>484</v>
      </c>
      <c r="E4" s="41" t="s">
        <v>485</v>
      </c>
    </row>
    <row r="5" spans="1:5" ht="12.75">
      <c r="A5" s="43"/>
      <c r="B5" s="43"/>
      <c r="C5" s="43"/>
      <c r="D5" s="200"/>
      <c r="E5" s="43"/>
    </row>
    <row r="6" spans="1:5" ht="12.75">
      <c r="A6" s="1">
        <v>1</v>
      </c>
      <c r="B6" s="1" t="s">
        <v>486</v>
      </c>
      <c r="C6" s="1" t="s">
        <v>487</v>
      </c>
      <c r="D6" s="168">
        <v>800</v>
      </c>
      <c r="E6" s="1" t="s">
        <v>488</v>
      </c>
    </row>
    <row r="7" spans="1:5" ht="12.75">
      <c r="A7" s="1">
        <v>2</v>
      </c>
      <c r="B7" s="1" t="s">
        <v>489</v>
      </c>
      <c r="C7" s="1" t="s">
        <v>490</v>
      </c>
      <c r="D7" s="168">
        <v>350</v>
      </c>
      <c r="E7" s="1" t="s">
        <v>491</v>
      </c>
    </row>
    <row r="8" spans="1:5" ht="12.75">
      <c r="A8" s="1">
        <v>3</v>
      </c>
      <c r="B8" s="1" t="s">
        <v>492</v>
      </c>
      <c r="C8" s="1" t="s">
        <v>493</v>
      </c>
      <c r="D8" s="168">
        <v>1013.01</v>
      </c>
      <c r="E8" s="1" t="s">
        <v>494</v>
      </c>
    </row>
    <row r="9" spans="1:5" ht="12.75">
      <c r="A9" s="1">
        <v>4</v>
      </c>
      <c r="B9" s="1" t="s">
        <v>492</v>
      </c>
      <c r="C9" s="1" t="s">
        <v>493</v>
      </c>
      <c r="D9" s="168">
        <v>2803.66</v>
      </c>
      <c r="E9" s="1" t="s">
        <v>494</v>
      </c>
    </row>
    <row r="10" spans="1:5" ht="12.75">
      <c r="A10" s="1">
        <v>5</v>
      </c>
      <c r="B10" s="1" t="s">
        <v>492</v>
      </c>
      <c r="C10" s="1" t="s">
        <v>490</v>
      </c>
      <c r="D10" s="168">
        <v>350</v>
      </c>
      <c r="E10" s="1" t="s">
        <v>491</v>
      </c>
    </row>
    <row r="11" spans="1:5" ht="12.75">
      <c r="A11" s="1">
        <v>6</v>
      </c>
      <c r="B11" s="1" t="s">
        <v>495</v>
      </c>
      <c r="C11" s="1" t="s">
        <v>496</v>
      </c>
      <c r="D11" s="168">
        <v>1214.27</v>
      </c>
      <c r="E11" s="1" t="s">
        <v>497</v>
      </c>
    </row>
    <row r="12" spans="1:5" ht="12.75">
      <c r="A12" s="1">
        <v>7</v>
      </c>
      <c r="B12" s="1" t="s">
        <v>498</v>
      </c>
      <c r="C12" s="1" t="s">
        <v>499</v>
      </c>
      <c r="D12" s="168">
        <v>2847.38</v>
      </c>
      <c r="E12" s="1" t="s">
        <v>500</v>
      </c>
    </row>
    <row r="13" spans="1:5" ht="12.75">
      <c r="A13" s="1">
        <v>8</v>
      </c>
      <c r="B13" s="1" t="s">
        <v>501</v>
      </c>
      <c r="C13" s="1" t="s">
        <v>502</v>
      </c>
      <c r="D13" s="168">
        <v>350</v>
      </c>
      <c r="E13" s="1" t="s">
        <v>503</v>
      </c>
    </row>
    <row r="14" spans="1:5" ht="12.75">
      <c r="A14" s="1">
        <v>9</v>
      </c>
      <c r="B14" s="1" t="s">
        <v>504</v>
      </c>
      <c r="C14" s="1" t="s">
        <v>505</v>
      </c>
      <c r="D14" s="168">
        <v>41569</v>
      </c>
      <c r="E14" s="1" t="s">
        <v>506</v>
      </c>
    </row>
    <row r="15" spans="1:5" ht="12.75">
      <c r="A15" s="1">
        <v>10</v>
      </c>
      <c r="B15" s="1" t="s">
        <v>507</v>
      </c>
      <c r="C15" s="1" t="s">
        <v>508</v>
      </c>
      <c r="D15" s="168">
        <v>3314</v>
      </c>
      <c r="E15" s="1" t="s">
        <v>488</v>
      </c>
    </row>
    <row r="16" spans="1:5" ht="12.75">
      <c r="A16" s="1">
        <v>11</v>
      </c>
      <c r="B16" s="1" t="s">
        <v>509</v>
      </c>
      <c r="C16" s="1" t="s">
        <v>510</v>
      </c>
      <c r="D16" s="168">
        <v>40372</v>
      </c>
      <c r="E16" s="1" t="s">
        <v>511</v>
      </c>
    </row>
    <row r="17" spans="1:5" ht="12.75">
      <c r="A17" s="1">
        <v>12</v>
      </c>
      <c r="B17" s="1" t="s">
        <v>512</v>
      </c>
      <c r="C17" s="1" t="s">
        <v>510</v>
      </c>
      <c r="D17" s="168">
        <v>80096</v>
      </c>
      <c r="E17" s="1" t="s">
        <v>513</v>
      </c>
    </row>
    <row r="18" spans="1:5" ht="12.75">
      <c r="A18" s="1">
        <v>13</v>
      </c>
      <c r="B18" s="1" t="s">
        <v>512</v>
      </c>
      <c r="C18" s="1" t="s">
        <v>505</v>
      </c>
      <c r="D18" s="168">
        <v>37729</v>
      </c>
      <c r="E18" s="1" t="s">
        <v>506</v>
      </c>
    </row>
    <row r="19" spans="1:5" ht="12.75">
      <c r="A19" s="1">
        <v>14</v>
      </c>
      <c r="B19" s="1" t="s">
        <v>514</v>
      </c>
      <c r="C19" s="1" t="s">
        <v>515</v>
      </c>
      <c r="D19" s="168">
        <v>1866</v>
      </c>
      <c r="E19" s="201">
        <v>42305</v>
      </c>
    </row>
    <row r="20" spans="1:5" ht="12.75">
      <c r="A20" s="1">
        <v>15</v>
      </c>
      <c r="B20" s="1" t="s">
        <v>516</v>
      </c>
      <c r="C20" s="1" t="s">
        <v>505</v>
      </c>
      <c r="D20" s="168">
        <v>23299</v>
      </c>
      <c r="E20" s="1" t="s">
        <v>506</v>
      </c>
    </row>
    <row r="21" spans="1:5" ht="12.75">
      <c r="A21" s="1">
        <v>16</v>
      </c>
      <c r="B21" s="1" t="s">
        <v>517</v>
      </c>
      <c r="C21" s="1" t="s">
        <v>487</v>
      </c>
      <c r="D21" s="168">
        <v>2200</v>
      </c>
      <c r="E21" s="1" t="s">
        <v>488</v>
      </c>
    </row>
    <row r="22" spans="1:5" ht="12.75">
      <c r="A22" s="1">
        <v>17</v>
      </c>
      <c r="B22" s="1" t="s">
        <v>518</v>
      </c>
      <c r="C22" s="1" t="s">
        <v>505</v>
      </c>
      <c r="D22" s="168">
        <v>59748</v>
      </c>
      <c r="E22" s="1" t="s">
        <v>506</v>
      </c>
    </row>
    <row r="23" spans="1:5" ht="12.75">
      <c r="A23" s="1">
        <v>18</v>
      </c>
      <c r="B23" s="1" t="s">
        <v>519</v>
      </c>
      <c r="C23" s="1" t="s">
        <v>510</v>
      </c>
      <c r="D23" s="168">
        <v>135669.02</v>
      </c>
      <c r="E23" s="1" t="s">
        <v>520</v>
      </c>
    </row>
    <row r="24" spans="1:5" ht="12.75">
      <c r="A24" s="1">
        <v>19</v>
      </c>
      <c r="B24" s="1" t="s">
        <v>521</v>
      </c>
      <c r="C24" s="1" t="s">
        <v>505</v>
      </c>
      <c r="D24" s="168">
        <v>74242</v>
      </c>
      <c r="E24" s="1" t="s">
        <v>506</v>
      </c>
    </row>
    <row r="25" spans="1:5" ht="12.75">
      <c r="A25" s="1">
        <v>20</v>
      </c>
      <c r="B25" s="1" t="s">
        <v>522</v>
      </c>
      <c r="C25" s="1" t="s">
        <v>493</v>
      </c>
      <c r="D25" s="168">
        <v>3816.67</v>
      </c>
      <c r="E25" s="1" t="s">
        <v>494</v>
      </c>
    </row>
    <row r="26" spans="1:5" ht="12.75">
      <c r="A26" s="1">
        <v>21</v>
      </c>
      <c r="B26" s="1" t="s">
        <v>523</v>
      </c>
      <c r="C26" s="1" t="s">
        <v>508</v>
      </c>
      <c r="D26" s="168">
        <v>2848</v>
      </c>
      <c r="E26" s="1" t="s">
        <v>524</v>
      </c>
    </row>
    <row r="27" spans="1:5" ht="12.75">
      <c r="A27" s="1">
        <v>22</v>
      </c>
      <c r="B27" s="1" t="s">
        <v>525</v>
      </c>
      <c r="C27" s="1" t="s">
        <v>505</v>
      </c>
      <c r="D27" s="168">
        <v>35629</v>
      </c>
      <c r="E27" s="1" t="s">
        <v>506</v>
      </c>
    </row>
    <row r="28" spans="1:5" ht="12.75">
      <c r="A28" s="1">
        <v>23</v>
      </c>
      <c r="B28" s="1" t="s">
        <v>526</v>
      </c>
      <c r="C28" s="1" t="s">
        <v>527</v>
      </c>
      <c r="D28" s="168">
        <v>1717.38</v>
      </c>
      <c r="E28" s="1" t="s">
        <v>528</v>
      </c>
    </row>
    <row r="29" spans="1:5" ht="12.75">
      <c r="A29" s="1">
        <v>24</v>
      </c>
      <c r="B29" s="1" t="s">
        <v>529</v>
      </c>
      <c r="C29" s="1" t="s">
        <v>505</v>
      </c>
      <c r="D29" s="168">
        <v>43534</v>
      </c>
      <c r="E29" s="1" t="s">
        <v>506</v>
      </c>
    </row>
    <row r="30" spans="1:5" ht="12.75">
      <c r="A30" s="1">
        <v>25</v>
      </c>
      <c r="B30" s="1" t="s">
        <v>530</v>
      </c>
      <c r="C30" s="1" t="s">
        <v>505</v>
      </c>
      <c r="D30" s="168">
        <v>52921</v>
      </c>
      <c r="E30" s="1" t="s">
        <v>506</v>
      </c>
    </row>
    <row r="31" spans="1:5" ht="12.75">
      <c r="A31" s="1">
        <v>26</v>
      </c>
      <c r="B31" s="1" t="s">
        <v>531</v>
      </c>
      <c r="C31" s="1" t="s">
        <v>505</v>
      </c>
      <c r="D31" s="168">
        <v>41569</v>
      </c>
      <c r="E31" s="1" t="s">
        <v>506</v>
      </c>
    </row>
    <row r="32" spans="1:5" ht="12.75">
      <c r="A32" s="1">
        <v>27</v>
      </c>
      <c r="B32" s="1" t="s">
        <v>532</v>
      </c>
      <c r="C32" s="1" t="s">
        <v>493</v>
      </c>
      <c r="D32" s="168">
        <v>3816.67</v>
      </c>
      <c r="E32" s="1" t="s">
        <v>494</v>
      </c>
    </row>
    <row r="33" spans="1:5" ht="12.75">
      <c r="A33" s="1">
        <v>28</v>
      </c>
      <c r="B33" s="1" t="s">
        <v>533</v>
      </c>
      <c r="C33" s="1" t="s">
        <v>502</v>
      </c>
      <c r="D33" s="168">
        <v>350</v>
      </c>
      <c r="E33" s="1" t="s">
        <v>503</v>
      </c>
    </row>
    <row r="34" spans="1:5" ht="12.75">
      <c r="A34" s="1">
        <v>29</v>
      </c>
      <c r="B34" s="1" t="s">
        <v>534</v>
      </c>
      <c r="C34" s="1" t="s">
        <v>502</v>
      </c>
      <c r="D34" s="168">
        <v>350</v>
      </c>
      <c r="E34" s="1" t="s">
        <v>503</v>
      </c>
    </row>
    <row r="35" spans="1:5" ht="12.75">
      <c r="A35" s="1">
        <v>30</v>
      </c>
      <c r="B35" s="1" t="s">
        <v>535</v>
      </c>
      <c r="C35" s="1" t="s">
        <v>505</v>
      </c>
      <c r="D35" s="168">
        <v>50213</v>
      </c>
      <c r="E35" s="1" t="s">
        <v>506</v>
      </c>
    </row>
    <row r="36" spans="1:5" ht="12.75">
      <c r="A36" s="1">
        <v>31</v>
      </c>
      <c r="B36" s="1" t="s">
        <v>535</v>
      </c>
      <c r="C36" s="1" t="s">
        <v>510</v>
      </c>
      <c r="D36" s="168">
        <v>196805.33</v>
      </c>
      <c r="E36" s="1" t="s">
        <v>536</v>
      </c>
    </row>
    <row r="37" spans="1:5" ht="12.75">
      <c r="A37" s="1">
        <v>32</v>
      </c>
      <c r="B37" s="1" t="s">
        <v>537</v>
      </c>
      <c r="C37" s="1" t="s">
        <v>493</v>
      </c>
      <c r="D37" s="168">
        <v>3816.67</v>
      </c>
      <c r="E37" s="1" t="s">
        <v>494</v>
      </c>
    </row>
    <row r="38" spans="1:5" ht="12.75">
      <c r="A38" s="1">
        <v>33</v>
      </c>
      <c r="B38" s="1" t="s">
        <v>538</v>
      </c>
      <c r="C38" s="1" t="s">
        <v>493</v>
      </c>
      <c r="D38" s="168">
        <v>3816.67</v>
      </c>
      <c r="E38" s="1" t="s">
        <v>494</v>
      </c>
    </row>
    <row r="39" spans="1:5" ht="12.75">
      <c r="A39" s="1">
        <v>34</v>
      </c>
      <c r="B39" s="1" t="s">
        <v>539</v>
      </c>
      <c r="C39" s="1" t="s">
        <v>490</v>
      </c>
      <c r="D39" s="168">
        <v>350</v>
      </c>
      <c r="E39" s="1" t="s">
        <v>491</v>
      </c>
    </row>
    <row r="40" spans="1:5" ht="12.75">
      <c r="A40" s="1">
        <v>35</v>
      </c>
      <c r="B40" s="1" t="s">
        <v>540</v>
      </c>
      <c r="C40" s="1" t="s">
        <v>505</v>
      </c>
      <c r="D40" s="168">
        <v>14371.47</v>
      </c>
      <c r="E40" s="1" t="s">
        <v>506</v>
      </c>
    </row>
    <row r="41" spans="1:5" ht="12.75">
      <c r="A41" s="1">
        <v>36</v>
      </c>
      <c r="B41" s="1" t="s">
        <v>541</v>
      </c>
      <c r="C41" s="1" t="s">
        <v>510</v>
      </c>
      <c r="D41" s="168">
        <v>199793.01</v>
      </c>
      <c r="E41" s="1" t="s">
        <v>542</v>
      </c>
    </row>
    <row r="42" spans="1:5" ht="12.75">
      <c r="A42" s="1">
        <v>37</v>
      </c>
      <c r="B42" s="1" t="s">
        <v>543</v>
      </c>
      <c r="C42" s="1" t="s">
        <v>510</v>
      </c>
      <c r="D42" s="168">
        <v>34210.46</v>
      </c>
      <c r="E42" s="1" t="s">
        <v>536</v>
      </c>
    </row>
    <row r="43" spans="1:5" ht="12.75">
      <c r="A43" s="1">
        <v>38</v>
      </c>
      <c r="B43" s="1" t="s">
        <v>544</v>
      </c>
      <c r="C43" s="1" t="s">
        <v>545</v>
      </c>
      <c r="D43" s="168">
        <v>161096</v>
      </c>
      <c r="E43" s="1" t="s">
        <v>546</v>
      </c>
    </row>
    <row r="44" spans="1:5" ht="12.75">
      <c r="A44" s="1">
        <v>39</v>
      </c>
      <c r="B44" s="1" t="s">
        <v>547</v>
      </c>
      <c r="C44" s="1" t="s">
        <v>505</v>
      </c>
      <c r="D44" s="168">
        <v>44611</v>
      </c>
      <c r="E44" s="1" t="s">
        <v>506</v>
      </c>
    </row>
    <row r="45" spans="1:5" ht="12.75">
      <c r="A45" s="1">
        <v>40</v>
      </c>
      <c r="B45" s="1" t="s">
        <v>548</v>
      </c>
      <c r="C45" s="1" t="s">
        <v>505</v>
      </c>
      <c r="D45" s="168">
        <v>57190</v>
      </c>
      <c r="E45" s="1" t="s">
        <v>506</v>
      </c>
    </row>
    <row r="46" spans="1:5" ht="12.75">
      <c r="A46" s="1">
        <v>41</v>
      </c>
      <c r="B46" s="1" t="s">
        <v>549</v>
      </c>
      <c r="C46" s="1" t="s">
        <v>505</v>
      </c>
      <c r="D46" s="168">
        <v>59748</v>
      </c>
      <c r="E46" s="1" t="s">
        <v>506</v>
      </c>
    </row>
    <row r="47" spans="1:5" ht="12.75">
      <c r="A47" s="1">
        <v>42</v>
      </c>
      <c r="B47" s="1" t="s">
        <v>550</v>
      </c>
      <c r="C47" s="1" t="s">
        <v>510</v>
      </c>
      <c r="D47" s="168">
        <v>53498.44</v>
      </c>
      <c r="E47" s="1" t="s">
        <v>536</v>
      </c>
    </row>
    <row r="48" spans="1:5" ht="12.75">
      <c r="A48" s="1">
        <v>43</v>
      </c>
      <c r="B48" s="1" t="s">
        <v>551</v>
      </c>
      <c r="C48" s="1" t="s">
        <v>510</v>
      </c>
      <c r="D48" s="168">
        <v>24464.31</v>
      </c>
      <c r="E48" s="1" t="s">
        <v>497</v>
      </c>
    </row>
    <row r="49" spans="1:5" ht="12.75">
      <c r="A49" s="1">
        <v>44</v>
      </c>
      <c r="B49" s="1" t="s">
        <v>552</v>
      </c>
      <c r="C49" s="1" t="s">
        <v>510</v>
      </c>
      <c r="D49" s="168">
        <v>53498.44</v>
      </c>
      <c r="E49" s="1" t="s">
        <v>536</v>
      </c>
    </row>
    <row r="50" spans="1:5" ht="12.75">
      <c r="A50" s="1">
        <v>45</v>
      </c>
      <c r="B50" s="1" t="s">
        <v>553</v>
      </c>
      <c r="C50" s="1" t="s">
        <v>502</v>
      </c>
      <c r="D50" s="168">
        <v>350</v>
      </c>
      <c r="E50" s="1" t="s">
        <v>503</v>
      </c>
    </row>
    <row r="51" spans="1:5" ht="12.75">
      <c r="A51" s="1">
        <v>46</v>
      </c>
      <c r="B51" s="1" t="s">
        <v>554</v>
      </c>
      <c r="C51" s="1" t="s">
        <v>505</v>
      </c>
      <c r="D51" s="168">
        <v>43534</v>
      </c>
      <c r="E51" s="1" t="s">
        <v>506</v>
      </c>
    </row>
    <row r="52" spans="1:5" ht="12.75">
      <c r="A52" s="1">
        <v>47</v>
      </c>
      <c r="B52" s="1" t="s">
        <v>554</v>
      </c>
      <c r="C52" s="1" t="s">
        <v>510</v>
      </c>
      <c r="D52" s="168">
        <v>80421.13</v>
      </c>
      <c r="E52" s="1" t="s">
        <v>536</v>
      </c>
    </row>
    <row r="53" spans="1:5" ht="12.75">
      <c r="A53" s="1">
        <v>48</v>
      </c>
      <c r="B53" s="1" t="s">
        <v>555</v>
      </c>
      <c r="C53" s="1" t="s">
        <v>556</v>
      </c>
      <c r="D53" s="168">
        <v>6464.1</v>
      </c>
      <c r="E53" s="1" t="s">
        <v>557</v>
      </c>
    </row>
    <row r="54" spans="1:5" ht="12.75">
      <c r="A54" s="1">
        <v>49</v>
      </c>
      <c r="B54" s="1" t="s">
        <v>558</v>
      </c>
      <c r="C54" s="1" t="s">
        <v>505</v>
      </c>
      <c r="D54" s="168">
        <v>58090</v>
      </c>
      <c r="E54" s="1" t="s">
        <v>506</v>
      </c>
    </row>
    <row r="55" spans="1:5" ht="12.75">
      <c r="A55" s="1">
        <v>50</v>
      </c>
      <c r="B55" s="1" t="s">
        <v>559</v>
      </c>
      <c r="C55" s="1" t="s">
        <v>505</v>
      </c>
      <c r="D55" s="168">
        <v>41569</v>
      </c>
      <c r="E55" s="1" t="s">
        <v>506</v>
      </c>
    </row>
    <row r="56" spans="1:5" ht="12.75">
      <c r="A56" s="1">
        <v>51</v>
      </c>
      <c r="B56" s="1" t="s">
        <v>560</v>
      </c>
      <c r="C56" s="1" t="s">
        <v>561</v>
      </c>
      <c r="D56" s="168">
        <v>16830</v>
      </c>
      <c r="E56" s="201">
        <v>42363</v>
      </c>
    </row>
    <row r="57" spans="1:5" ht="12.75">
      <c r="A57" s="1">
        <v>52</v>
      </c>
      <c r="B57" s="1" t="s">
        <v>562</v>
      </c>
      <c r="C57" s="1" t="s">
        <v>563</v>
      </c>
      <c r="D57" s="168">
        <v>15840</v>
      </c>
      <c r="E57" s="1" t="s">
        <v>564</v>
      </c>
    </row>
    <row r="58" spans="1:5" ht="12.75">
      <c r="A58" s="1">
        <v>53</v>
      </c>
      <c r="B58" s="1" t="s">
        <v>565</v>
      </c>
      <c r="C58" s="1" t="s">
        <v>563</v>
      </c>
      <c r="D58" s="168">
        <v>4950</v>
      </c>
      <c r="E58" s="1" t="s">
        <v>564</v>
      </c>
    </row>
    <row r="59" spans="1:5" ht="12.75">
      <c r="A59" s="1">
        <v>54</v>
      </c>
      <c r="B59" s="1" t="s">
        <v>566</v>
      </c>
      <c r="C59" s="1" t="s">
        <v>505</v>
      </c>
      <c r="D59" s="168">
        <v>35752</v>
      </c>
      <c r="E59" s="1" t="s">
        <v>506</v>
      </c>
    </row>
    <row r="60" spans="1:5" ht="12.75">
      <c r="A60" s="1">
        <v>55</v>
      </c>
      <c r="B60" s="1" t="s">
        <v>567</v>
      </c>
      <c r="C60" s="1" t="s">
        <v>515</v>
      </c>
      <c r="D60" s="168">
        <v>1137.34</v>
      </c>
      <c r="E60" s="1" t="s">
        <v>568</v>
      </c>
    </row>
    <row r="61" spans="1:5" ht="12.75">
      <c r="A61" s="1"/>
      <c r="B61" s="1"/>
      <c r="C61" s="1"/>
      <c r="D61" s="9">
        <f>SUM(D6:D75)</f>
        <v>2213369.1900000004</v>
      </c>
      <c r="E61" s="1"/>
    </row>
    <row r="62" ht="12.75">
      <c r="D62" s="202"/>
    </row>
    <row r="63" spans="1:5" ht="18">
      <c r="A63" s="225" t="s">
        <v>569</v>
      </c>
      <c r="B63" s="225"/>
      <c r="C63" s="225"/>
      <c r="D63" s="225"/>
      <c r="E63" s="225"/>
    </row>
    <row r="64" spans="1:5" ht="15">
      <c r="A64" s="203"/>
      <c r="B64" s="204"/>
      <c r="C64" s="204"/>
      <c r="D64" s="198"/>
      <c r="E64" s="204"/>
    </row>
    <row r="65" spans="1:5" ht="12.75">
      <c r="A65" s="41" t="s">
        <v>482</v>
      </c>
      <c r="B65" s="41" t="s">
        <v>370</v>
      </c>
      <c r="C65" s="41" t="s">
        <v>483</v>
      </c>
      <c r="D65" s="199" t="s">
        <v>484</v>
      </c>
      <c r="E65" s="41" t="s">
        <v>485</v>
      </c>
    </row>
    <row r="66" spans="1:5" ht="12.75">
      <c r="A66" s="43"/>
      <c r="B66" s="43"/>
      <c r="C66" s="43"/>
      <c r="D66" s="200"/>
      <c r="E66" s="43"/>
    </row>
    <row r="67" spans="1:5" ht="12.75">
      <c r="A67" s="1">
        <v>1</v>
      </c>
      <c r="B67" s="1" t="s">
        <v>570</v>
      </c>
      <c r="C67" s="1" t="s">
        <v>545</v>
      </c>
      <c r="D67" s="168">
        <v>24000</v>
      </c>
      <c r="E67" s="1" t="s">
        <v>571</v>
      </c>
    </row>
    <row r="68" spans="1:5" ht="12.75">
      <c r="A68" s="1">
        <v>2</v>
      </c>
      <c r="B68" s="1" t="s">
        <v>572</v>
      </c>
      <c r="C68" s="1" t="s">
        <v>573</v>
      </c>
      <c r="D68" s="168">
        <v>31168.72</v>
      </c>
      <c r="E68" s="201" t="s">
        <v>574</v>
      </c>
    </row>
    <row r="69" spans="1:5" ht="12.75">
      <c r="A69" s="1">
        <v>3</v>
      </c>
      <c r="B69" s="1" t="s">
        <v>575</v>
      </c>
      <c r="C69" s="1" t="s">
        <v>510</v>
      </c>
      <c r="D69" s="168">
        <v>25662.28</v>
      </c>
      <c r="E69" s="201" t="s">
        <v>576</v>
      </c>
    </row>
    <row r="70" spans="1:5" ht="12.75">
      <c r="A70" s="1">
        <v>4</v>
      </c>
      <c r="B70" s="1" t="s">
        <v>577</v>
      </c>
      <c r="C70" s="1" t="s">
        <v>510</v>
      </c>
      <c r="D70" s="168">
        <v>38313.21</v>
      </c>
      <c r="E70" s="201" t="s">
        <v>578</v>
      </c>
    </row>
    <row r="71" spans="1:5" ht="12.75">
      <c r="A71" s="1">
        <v>5</v>
      </c>
      <c r="B71" s="1" t="s">
        <v>579</v>
      </c>
      <c r="C71" s="1" t="s">
        <v>580</v>
      </c>
      <c r="D71" s="168">
        <v>3675.13</v>
      </c>
      <c r="E71" s="201" t="s">
        <v>581</v>
      </c>
    </row>
    <row r="72" spans="1:5" ht="12.75">
      <c r="A72" s="1"/>
      <c r="B72" s="1" t="s">
        <v>582</v>
      </c>
      <c r="C72" s="1" t="s">
        <v>583</v>
      </c>
      <c r="D72" s="168">
        <f>649.63*4</f>
        <v>2598.52</v>
      </c>
      <c r="E72" s="201" t="s">
        <v>584</v>
      </c>
    </row>
    <row r="73" spans="1:5" ht="12.75">
      <c r="A73" s="1">
        <v>6</v>
      </c>
      <c r="B73" s="1" t="s">
        <v>501</v>
      </c>
      <c r="C73" s="1" t="s">
        <v>573</v>
      </c>
      <c r="D73" s="168">
        <v>36349</v>
      </c>
      <c r="E73" s="201" t="s">
        <v>574</v>
      </c>
    </row>
    <row r="74" spans="1:5" ht="12.75">
      <c r="A74" s="1">
        <v>7</v>
      </c>
      <c r="B74" s="1" t="s">
        <v>585</v>
      </c>
      <c r="C74" s="1" t="s">
        <v>586</v>
      </c>
      <c r="D74" s="168">
        <f>809.6*2</f>
        <v>1619.2</v>
      </c>
      <c r="E74" s="201" t="s">
        <v>587</v>
      </c>
    </row>
    <row r="75" spans="1:5" ht="12.75">
      <c r="A75" s="1">
        <v>8</v>
      </c>
      <c r="B75" s="1" t="s">
        <v>588</v>
      </c>
      <c r="C75" s="1" t="s">
        <v>573</v>
      </c>
      <c r="D75" s="168">
        <v>33105.73</v>
      </c>
      <c r="E75" s="201" t="s">
        <v>574</v>
      </c>
    </row>
    <row r="76" spans="1:5" ht="12.75">
      <c r="A76" s="1">
        <v>9</v>
      </c>
      <c r="B76" s="1" t="s">
        <v>589</v>
      </c>
      <c r="C76" s="1" t="s">
        <v>510</v>
      </c>
      <c r="D76" s="168">
        <v>40793.19</v>
      </c>
      <c r="E76" s="201" t="s">
        <v>590</v>
      </c>
    </row>
    <row r="77" spans="1:5" ht="12.75">
      <c r="A77" s="1">
        <v>10</v>
      </c>
      <c r="B77" s="1" t="s">
        <v>589</v>
      </c>
      <c r="C77" s="1" t="s">
        <v>573</v>
      </c>
      <c r="D77" s="168">
        <v>50574</v>
      </c>
      <c r="E77" s="201" t="s">
        <v>591</v>
      </c>
    </row>
    <row r="78" spans="1:5" ht="12.75">
      <c r="A78" s="1">
        <v>11</v>
      </c>
      <c r="B78" s="1" t="s">
        <v>507</v>
      </c>
      <c r="C78" s="1" t="s">
        <v>573</v>
      </c>
      <c r="D78" s="168">
        <v>21781.87</v>
      </c>
      <c r="E78" s="201" t="s">
        <v>574</v>
      </c>
    </row>
    <row r="79" spans="1:5" ht="12.75">
      <c r="A79" s="1">
        <v>12</v>
      </c>
      <c r="B79" s="1" t="s">
        <v>509</v>
      </c>
      <c r="C79" s="1" t="s">
        <v>592</v>
      </c>
      <c r="D79" s="168">
        <v>2264.96</v>
      </c>
      <c r="E79" s="201" t="s">
        <v>593</v>
      </c>
    </row>
    <row r="80" spans="1:5" ht="12.75">
      <c r="A80" s="1">
        <v>13</v>
      </c>
      <c r="B80" s="1" t="s">
        <v>594</v>
      </c>
      <c r="C80" s="1" t="s">
        <v>583</v>
      </c>
      <c r="D80" s="168">
        <f>520.72*4</f>
        <v>2082.88</v>
      </c>
      <c r="E80" s="201" t="s">
        <v>584</v>
      </c>
    </row>
    <row r="81" spans="1:5" ht="12.75">
      <c r="A81" s="1">
        <v>14</v>
      </c>
      <c r="B81" s="1" t="s">
        <v>595</v>
      </c>
      <c r="C81" s="1" t="s">
        <v>596</v>
      </c>
      <c r="D81" s="168">
        <v>450</v>
      </c>
      <c r="E81" s="201" t="s">
        <v>597</v>
      </c>
    </row>
    <row r="82" spans="1:5" ht="12.75">
      <c r="A82" s="1">
        <v>15</v>
      </c>
      <c r="B82" s="1" t="s">
        <v>598</v>
      </c>
      <c r="C82" s="1" t="s">
        <v>596</v>
      </c>
      <c r="D82" s="168">
        <v>450</v>
      </c>
      <c r="E82" s="201" t="s">
        <v>599</v>
      </c>
    </row>
    <row r="83" spans="1:5" ht="12.75">
      <c r="A83" s="1">
        <v>16</v>
      </c>
      <c r="B83" s="1" t="s">
        <v>600</v>
      </c>
      <c r="C83" s="1" t="s">
        <v>583</v>
      </c>
      <c r="D83" s="168">
        <f>262.44*4</f>
        <v>1049.76</v>
      </c>
      <c r="E83" s="201" t="s">
        <v>584</v>
      </c>
    </row>
    <row r="84" spans="1:5" ht="12.75">
      <c r="A84" s="1">
        <v>17</v>
      </c>
      <c r="B84" s="1" t="s">
        <v>601</v>
      </c>
      <c r="C84" s="1" t="s">
        <v>573</v>
      </c>
      <c r="D84" s="168">
        <v>84846.95</v>
      </c>
      <c r="E84" s="201" t="s">
        <v>574</v>
      </c>
    </row>
    <row r="85" spans="1:5" ht="12.75">
      <c r="A85" s="1">
        <v>18</v>
      </c>
      <c r="B85" s="1" t="s">
        <v>602</v>
      </c>
      <c r="C85" s="1" t="s">
        <v>583</v>
      </c>
      <c r="D85" s="168">
        <f>3799.44*4</f>
        <v>15197.76</v>
      </c>
      <c r="E85" s="201" t="s">
        <v>584</v>
      </c>
    </row>
    <row r="86" spans="1:5" ht="12.75">
      <c r="A86" s="1">
        <v>19</v>
      </c>
      <c r="B86" s="1" t="s">
        <v>603</v>
      </c>
      <c r="C86" s="1" t="s">
        <v>510</v>
      </c>
      <c r="D86" s="168">
        <v>8633.52</v>
      </c>
      <c r="E86" s="201" t="s">
        <v>604</v>
      </c>
    </row>
    <row r="87" spans="1:5" ht="12.75">
      <c r="A87" s="1">
        <v>20</v>
      </c>
      <c r="B87" s="1" t="s">
        <v>605</v>
      </c>
      <c r="C87" s="1" t="s">
        <v>573</v>
      </c>
      <c r="D87" s="168">
        <v>47094</v>
      </c>
      <c r="E87" s="201" t="s">
        <v>591</v>
      </c>
    </row>
    <row r="88" spans="1:5" ht="12.75">
      <c r="A88" s="1">
        <v>21</v>
      </c>
      <c r="B88" s="1" t="s">
        <v>606</v>
      </c>
      <c r="C88" s="1" t="s">
        <v>510</v>
      </c>
      <c r="D88" s="168">
        <v>8521.56</v>
      </c>
      <c r="E88" s="201" t="s">
        <v>604</v>
      </c>
    </row>
    <row r="89" spans="1:5" ht="12.75">
      <c r="A89" s="1">
        <v>22</v>
      </c>
      <c r="B89" s="1" t="s">
        <v>606</v>
      </c>
      <c r="C89" s="1" t="s">
        <v>573</v>
      </c>
      <c r="D89" s="168">
        <v>47094</v>
      </c>
      <c r="E89" s="201" t="s">
        <v>591</v>
      </c>
    </row>
    <row r="90" spans="1:5" ht="12.75">
      <c r="A90" s="1">
        <v>23</v>
      </c>
      <c r="B90" s="1" t="s">
        <v>607</v>
      </c>
      <c r="C90" s="1" t="s">
        <v>580</v>
      </c>
      <c r="D90" s="168">
        <v>1523</v>
      </c>
      <c r="E90" s="201" t="s">
        <v>608</v>
      </c>
    </row>
    <row r="91" spans="1:5" ht="12.75">
      <c r="A91" s="1">
        <v>24</v>
      </c>
      <c r="B91" s="1" t="s">
        <v>609</v>
      </c>
      <c r="C91" s="1" t="s">
        <v>583</v>
      </c>
      <c r="D91" s="168">
        <f>272.09*4</f>
        <v>1088.36</v>
      </c>
      <c r="E91" s="201" t="s">
        <v>584</v>
      </c>
    </row>
    <row r="92" spans="1:5" ht="12.75">
      <c r="A92" s="1">
        <v>25</v>
      </c>
      <c r="B92" s="1" t="s">
        <v>610</v>
      </c>
      <c r="C92" s="1" t="s">
        <v>510</v>
      </c>
      <c r="D92" s="168">
        <v>2995.14</v>
      </c>
      <c r="E92" s="201" t="s">
        <v>604</v>
      </c>
    </row>
    <row r="93" spans="1:5" ht="12.75">
      <c r="A93" s="1">
        <v>26</v>
      </c>
      <c r="B93" s="1" t="s">
        <v>610</v>
      </c>
      <c r="C93" s="1" t="s">
        <v>573</v>
      </c>
      <c r="D93" s="168">
        <v>47094</v>
      </c>
      <c r="E93" s="201" t="s">
        <v>591</v>
      </c>
    </row>
    <row r="94" spans="1:5" ht="12.75">
      <c r="A94" s="1">
        <v>27</v>
      </c>
      <c r="B94" s="1" t="s">
        <v>611</v>
      </c>
      <c r="C94" s="1" t="s">
        <v>510</v>
      </c>
      <c r="D94" s="168">
        <v>20199.78</v>
      </c>
      <c r="E94" s="201" t="s">
        <v>612</v>
      </c>
    </row>
    <row r="95" spans="1:5" ht="12.75">
      <c r="A95" s="1">
        <v>28</v>
      </c>
      <c r="B95" s="1" t="s">
        <v>613</v>
      </c>
      <c r="C95" s="1" t="s">
        <v>614</v>
      </c>
      <c r="D95" s="168">
        <v>980</v>
      </c>
      <c r="E95" s="201" t="s">
        <v>597</v>
      </c>
    </row>
    <row r="96" spans="1:5" ht="12.75">
      <c r="A96" s="1">
        <v>29</v>
      </c>
      <c r="B96" s="1" t="s">
        <v>615</v>
      </c>
      <c r="C96" s="1" t="s">
        <v>616</v>
      </c>
      <c r="D96" s="168">
        <v>9219</v>
      </c>
      <c r="E96" s="1" t="s">
        <v>617</v>
      </c>
    </row>
    <row r="97" spans="1:5" ht="12.75">
      <c r="A97" s="1">
        <v>30</v>
      </c>
      <c r="B97" s="1" t="s">
        <v>618</v>
      </c>
      <c r="C97" s="1" t="s">
        <v>510</v>
      </c>
      <c r="D97" s="168">
        <v>58372.41</v>
      </c>
      <c r="E97" s="201" t="s">
        <v>619</v>
      </c>
    </row>
    <row r="98" spans="1:5" ht="12.75">
      <c r="A98" s="1">
        <v>31</v>
      </c>
      <c r="B98" s="1" t="s">
        <v>620</v>
      </c>
      <c r="C98" s="1" t="s">
        <v>621</v>
      </c>
      <c r="D98" s="168">
        <v>486.76</v>
      </c>
      <c r="E98" s="201" t="s">
        <v>622</v>
      </c>
    </row>
    <row r="99" spans="1:5" ht="12.75">
      <c r="A99" s="1">
        <v>32</v>
      </c>
      <c r="B99" s="1" t="s">
        <v>623</v>
      </c>
      <c r="C99" s="1" t="s">
        <v>510</v>
      </c>
      <c r="D99" s="168">
        <v>8893.93</v>
      </c>
      <c r="E99" s="201" t="s">
        <v>578</v>
      </c>
    </row>
    <row r="100" spans="1:5" ht="12.75">
      <c r="A100" s="1">
        <v>33</v>
      </c>
      <c r="B100" s="1" t="s">
        <v>624</v>
      </c>
      <c r="C100" s="1" t="s">
        <v>510</v>
      </c>
      <c r="D100" s="168">
        <v>90692.21</v>
      </c>
      <c r="E100" s="201" t="s">
        <v>625</v>
      </c>
    </row>
    <row r="101" spans="1:5" ht="12.75">
      <c r="A101" s="1">
        <v>34</v>
      </c>
      <c r="B101" s="1" t="s">
        <v>624</v>
      </c>
      <c r="C101" s="1" t="s">
        <v>510</v>
      </c>
      <c r="D101" s="168">
        <v>33949.31</v>
      </c>
      <c r="E101" s="1" t="s">
        <v>625</v>
      </c>
    </row>
    <row r="102" spans="1:5" ht="12.75">
      <c r="A102" s="1">
        <v>35</v>
      </c>
      <c r="B102" s="1" t="s">
        <v>624</v>
      </c>
      <c r="C102" s="1" t="s">
        <v>573</v>
      </c>
      <c r="D102" s="168">
        <v>38906.05</v>
      </c>
      <c r="E102" s="201" t="s">
        <v>574</v>
      </c>
    </row>
    <row r="103" spans="1:5" ht="12.75">
      <c r="A103" s="1">
        <v>36</v>
      </c>
      <c r="B103" s="1" t="s">
        <v>626</v>
      </c>
      <c r="C103" s="1" t="s">
        <v>583</v>
      </c>
      <c r="D103" s="168">
        <f>1688.74*4</f>
        <v>6754.96</v>
      </c>
      <c r="E103" s="201" t="s">
        <v>584</v>
      </c>
    </row>
    <row r="104" spans="1:5" ht="12.75">
      <c r="A104" s="1">
        <v>37</v>
      </c>
      <c r="B104" s="1" t="s">
        <v>627</v>
      </c>
      <c r="C104" s="1" t="s">
        <v>510</v>
      </c>
      <c r="D104" s="168">
        <v>24065.64</v>
      </c>
      <c r="E104" s="201" t="s">
        <v>604</v>
      </c>
    </row>
    <row r="105" spans="1:5" ht="12.75">
      <c r="A105" s="1">
        <v>38</v>
      </c>
      <c r="B105" s="1" t="s">
        <v>628</v>
      </c>
      <c r="C105" s="1" t="s">
        <v>614</v>
      </c>
      <c r="D105" s="168">
        <v>800</v>
      </c>
      <c r="E105" s="1" t="s">
        <v>629</v>
      </c>
    </row>
    <row r="106" spans="1:5" ht="12.75">
      <c r="A106" s="1">
        <v>39</v>
      </c>
      <c r="B106" s="1" t="s">
        <v>628</v>
      </c>
      <c r="C106" s="1" t="s">
        <v>573</v>
      </c>
      <c r="D106" s="168">
        <v>47094</v>
      </c>
      <c r="E106" s="201" t="s">
        <v>591</v>
      </c>
    </row>
    <row r="107" spans="1:5" ht="12.75">
      <c r="A107" s="1">
        <v>40</v>
      </c>
      <c r="B107" s="1" t="s">
        <v>630</v>
      </c>
      <c r="C107" s="1" t="s">
        <v>592</v>
      </c>
      <c r="D107" s="168">
        <v>2441.89</v>
      </c>
      <c r="E107" s="201" t="s">
        <v>593</v>
      </c>
    </row>
    <row r="108" spans="1:5" ht="12.75">
      <c r="A108" s="1">
        <v>41</v>
      </c>
      <c r="B108" s="1" t="s">
        <v>630</v>
      </c>
      <c r="C108" s="1" t="s">
        <v>580</v>
      </c>
      <c r="D108" s="168">
        <v>1434</v>
      </c>
      <c r="E108" s="201" t="s">
        <v>631</v>
      </c>
    </row>
    <row r="109" spans="1:5" ht="12.75">
      <c r="A109" s="1">
        <v>42</v>
      </c>
      <c r="B109" s="1" t="s">
        <v>632</v>
      </c>
      <c r="C109" s="1" t="s">
        <v>573</v>
      </c>
      <c r="D109" s="168">
        <v>50574</v>
      </c>
      <c r="E109" s="201" t="s">
        <v>591</v>
      </c>
    </row>
    <row r="110" spans="1:5" ht="12.75">
      <c r="A110" s="1">
        <v>43</v>
      </c>
      <c r="B110" s="1" t="s">
        <v>534</v>
      </c>
      <c r="C110" s="1" t="s">
        <v>510</v>
      </c>
      <c r="D110" s="168">
        <v>23199.43</v>
      </c>
      <c r="E110" s="1" t="s">
        <v>633</v>
      </c>
    </row>
    <row r="111" spans="1:5" ht="12.75">
      <c r="A111" s="1">
        <v>44</v>
      </c>
      <c r="B111" s="1" t="s">
        <v>534</v>
      </c>
      <c r="C111" s="1" t="s">
        <v>614</v>
      </c>
      <c r="D111" s="168">
        <v>800</v>
      </c>
      <c r="E111" s="1" t="s">
        <v>634</v>
      </c>
    </row>
    <row r="112" spans="1:5" ht="12.75">
      <c r="A112" s="1">
        <v>45</v>
      </c>
      <c r="B112" s="1" t="s">
        <v>635</v>
      </c>
      <c r="C112" s="1" t="s">
        <v>592</v>
      </c>
      <c r="D112" s="168">
        <v>2191.73</v>
      </c>
      <c r="E112" s="201" t="s">
        <v>593</v>
      </c>
    </row>
    <row r="113" spans="1:5" ht="12.75">
      <c r="A113" s="1">
        <v>46</v>
      </c>
      <c r="B113" s="1" t="s">
        <v>635</v>
      </c>
      <c r="C113" s="1" t="s">
        <v>573</v>
      </c>
      <c r="D113" s="168">
        <v>24207.04</v>
      </c>
      <c r="E113" s="201" t="s">
        <v>591</v>
      </c>
    </row>
    <row r="114" spans="1:5" ht="12.75">
      <c r="A114" s="1">
        <v>47</v>
      </c>
      <c r="B114" s="1" t="s">
        <v>635</v>
      </c>
      <c r="C114" s="1" t="s">
        <v>573</v>
      </c>
      <c r="D114" s="168">
        <v>22886.96</v>
      </c>
      <c r="E114" s="201" t="s">
        <v>591</v>
      </c>
    </row>
    <row r="115" spans="1:5" ht="12.75">
      <c r="A115" s="1">
        <v>48</v>
      </c>
      <c r="B115" s="1" t="s">
        <v>636</v>
      </c>
      <c r="C115" s="1" t="s">
        <v>573</v>
      </c>
      <c r="D115" s="168">
        <v>32757.55</v>
      </c>
      <c r="E115" s="201" t="s">
        <v>591</v>
      </c>
    </row>
    <row r="116" spans="1:5" ht="12.75">
      <c r="A116" s="1">
        <v>49</v>
      </c>
      <c r="B116" s="1" t="s">
        <v>636</v>
      </c>
      <c r="C116" s="1" t="s">
        <v>573</v>
      </c>
      <c r="D116" s="168">
        <v>14336.45</v>
      </c>
      <c r="E116" s="201" t="s">
        <v>591</v>
      </c>
    </row>
    <row r="117" spans="1:5" ht="12.75">
      <c r="A117" s="1">
        <v>50</v>
      </c>
      <c r="B117" s="1" t="s">
        <v>535</v>
      </c>
      <c r="C117" s="1" t="s">
        <v>573</v>
      </c>
      <c r="D117" s="168">
        <v>18730</v>
      </c>
      <c r="E117" s="201" t="s">
        <v>574</v>
      </c>
    </row>
    <row r="118" spans="1:5" ht="12.75">
      <c r="A118" s="1">
        <v>51</v>
      </c>
      <c r="B118" s="1" t="s">
        <v>637</v>
      </c>
      <c r="C118" s="1" t="s">
        <v>638</v>
      </c>
      <c r="D118" s="168">
        <v>1600</v>
      </c>
      <c r="E118" s="1" t="s">
        <v>639</v>
      </c>
    </row>
    <row r="119" spans="1:5" ht="12.75">
      <c r="A119" s="1">
        <v>52</v>
      </c>
      <c r="B119" s="1" t="s">
        <v>637</v>
      </c>
      <c r="C119" s="1" t="s">
        <v>493</v>
      </c>
      <c r="D119" s="168">
        <v>6973.33</v>
      </c>
      <c r="E119" s="1" t="s">
        <v>640</v>
      </c>
    </row>
    <row r="120" spans="1:5" ht="12.75">
      <c r="A120" s="1">
        <v>53</v>
      </c>
      <c r="B120" s="1" t="s">
        <v>641</v>
      </c>
      <c r="C120" s="1" t="s">
        <v>583</v>
      </c>
      <c r="D120" s="168">
        <f>1951.17*4</f>
        <v>7804.68</v>
      </c>
      <c r="E120" s="201" t="s">
        <v>584</v>
      </c>
    </row>
    <row r="121" spans="1:5" ht="12.75">
      <c r="A121" s="1">
        <v>54</v>
      </c>
      <c r="B121" s="1" t="s">
        <v>642</v>
      </c>
      <c r="C121" s="1" t="s">
        <v>580</v>
      </c>
      <c r="D121" s="168">
        <v>1434</v>
      </c>
      <c r="E121" s="201" t="s">
        <v>581</v>
      </c>
    </row>
    <row r="122" spans="1:5" ht="12.75">
      <c r="A122" s="1">
        <v>55</v>
      </c>
      <c r="B122" s="1" t="s">
        <v>643</v>
      </c>
      <c r="C122" s="1" t="s">
        <v>614</v>
      </c>
      <c r="D122" s="168">
        <v>800</v>
      </c>
      <c r="E122" s="1" t="s">
        <v>644</v>
      </c>
    </row>
    <row r="123" spans="1:5" ht="12.75">
      <c r="A123" s="1">
        <v>56</v>
      </c>
      <c r="B123" s="1" t="s">
        <v>645</v>
      </c>
      <c r="C123" s="1" t="s">
        <v>596</v>
      </c>
      <c r="D123" s="168">
        <v>450</v>
      </c>
      <c r="E123" s="201" t="s">
        <v>599</v>
      </c>
    </row>
    <row r="124" spans="1:5" ht="12.75">
      <c r="A124" s="1">
        <v>57</v>
      </c>
      <c r="B124" s="1" t="s">
        <v>646</v>
      </c>
      <c r="C124" s="1" t="s">
        <v>583</v>
      </c>
      <c r="D124" s="168">
        <f>1388.84*4</f>
        <v>5555.36</v>
      </c>
      <c r="E124" s="201" t="s">
        <v>584</v>
      </c>
    </row>
    <row r="125" spans="1:5" ht="12.75">
      <c r="A125" s="1">
        <v>58</v>
      </c>
      <c r="B125" s="1" t="s">
        <v>647</v>
      </c>
      <c r="C125" s="1" t="s">
        <v>580</v>
      </c>
      <c r="D125" s="168">
        <v>1434</v>
      </c>
      <c r="E125" s="201" t="s">
        <v>648</v>
      </c>
    </row>
    <row r="126" spans="1:5" ht="12.75">
      <c r="A126" s="1">
        <v>59</v>
      </c>
      <c r="B126" s="1" t="s">
        <v>649</v>
      </c>
      <c r="C126" s="1" t="s">
        <v>510</v>
      </c>
      <c r="D126" s="168">
        <v>96875.96</v>
      </c>
      <c r="E126" s="1" t="s">
        <v>650</v>
      </c>
    </row>
    <row r="127" spans="1:5" ht="12.75">
      <c r="A127" s="1">
        <v>60</v>
      </c>
      <c r="B127" s="1" t="s">
        <v>649</v>
      </c>
      <c r="C127" s="1" t="s">
        <v>493</v>
      </c>
      <c r="D127" s="168">
        <v>6973.34</v>
      </c>
      <c r="E127" s="1" t="s">
        <v>640</v>
      </c>
    </row>
    <row r="128" spans="1:5" ht="12.75">
      <c r="A128" s="1">
        <v>61</v>
      </c>
      <c r="B128" s="1" t="s">
        <v>651</v>
      </c>
      <c r="C128" s="1" t="s">
        <v>583</v>
      </c>
      <c r="D128" s="168">
        <f>2730.32*4</f>
        <v>10921.28</v>
      </c>
      <c r="E128" s="201" t="s">
        <v>584</v>
      </c>
    </row>
    <row r="129" spans="1:5" ht="12.75">
      <c r="A129" s="1">
        <v>62</v>
      </c>
      <c r="B129" s="1" t="s">
        <v>652</v>
      </c>
      <c r="C129" s="1" t="s">
        <v>616</v>
      </c>
      <c r="D129" s="168">
        <v>10013</v>
      </c>
      <c r="E129" s="1" t="s">
        <v>653</v>
      </c>
    </row>
    <row r="130" spans="1:5" ht="12.75">
      <c r="A130" s="1">
        <v>63</v>
      </c>
      <c r="B130" s="1" t="s">
        <v>654</v>
      </c>
      <c r="C130" s="1" t="s">
        <v>510</v>
      </c>
      <c r="D130" s="168">
        <v>8663.67</v>
      </c>
      <c r="E130" s="1" t="s">
        <v>655</v>
      </c>
    </row>
    <row r="131" spans="1:5" ht="12.75">
      <c r="A131" s="1">
        <v>64</v>
      </c>
      <c r="B131" s="1" t="s">
        <v>654</v>
      </c>
      <c r="C131" s="1" t="s">
        <v>573</v>
      </c>
      <c r="D131" s="168">
        <v>27612.11</v>
      </c>
      <c r="E131" s="201" t="s">
        <v>591</v>
      </c>
    </row>
    <row r="132" spans="1:5" ht="12.75">
      <c r="A132" s="1">
        <v>65</v>
      </c>
      <c r="B132" s="1" t="s">
        <v>654</v>
      </c>
      <c r="C132" s="1" t="s">
        <v>573</v>
      </c>
      <c r="D132" s="168">
        <v>19481.89</v>
      </c>
      <c r="E132" s="201" t="s">
        <v>591</v>
      </c>
    </row>
    <row r="133" spans="1:5" ht="12.75">
      <c r="A133" s="1">
        <v>66</v>
      </c>
      <c r="B133" s="1" t="s">
        <v>656</v>
      </c>
      <c r="C133" s="1" t="s">
        <v>657</v>
      </c>
      <c r="D133" s="168">
        <v>800</v>
      </c>
      <c r="E133" s="1" t="s">
        <v>658</v>
      </c>
    </row>
    <row r="134" spans="1:5" ht="12.75">
      <c r="A134" s="1">
        <v>67</v>
      </c>
      <c r="B134" s="1" t="s">
        <v>659</v>
      </c>
      <c r="C134" s="1" t="s">
        <v>583</v>
      </c>
      <c r="D134" s="168">
        <f>1654.1*4</f>
        <v>6616.4</v>
      </c>
      <c r="E134" s="201" t="s">
        <v>584</v>
      </c>
    </row>
    <row r="135" spans="1:5" ht="12.75">
      <c r="A135" s="1">
        <v>68</v>
      </c>
      <c r="B135" s="1" t="s">
        <v>660</v>
      </c>
      <c r="C135" s="1" t="s">
        <v>510</v>
      </c>
      <c r="D135" s="168">
        <v>30784.31</v>
      </c>
      <c r="E135" s="1" t="s">
        <v>590</v>
      </c>
    </row>
    <row r="136" spans="1:5" ht="12.75">
      <c r="A136" s="1">
        <v>69</v>
      </c>
      <c r="B136" s="1" t="s">
        <v>661</v>
      </c>
      <c r="C136" s="1" t="s">
        <v>657</v>
      </c>
      <c r="D136" s="168">
        <v>800</v>
      </c>
      <c r="E136" s="1" t="s">
        <v>662</v>
      </c>
    </row>
    <row r="137" spans="1:5" ht="12.75">
      <c r="A137" s="1">
        <v>70</v>
      </c>
      <c r="B137" s="1" t="s">
        <v>541</v>
      </c>
      <c r="C137" s="1" t="s">
        <v>573</v>
      </c>
      <c r="D137" s="168">
        <v>31181.68</v>
      </c>
      <c r="E137" s="201" t="s">
        <v>574</v>
      </c>
    </row>
    <row r="138" spans="1:5" ht="12.75">
      <c r="A138" s="1">
        <v>71</v>
      </c>
      <c r="B138" s="1" t="s">
        <v>663</v>
      </c>
      <c r="C138" s="1" t="s">
        <v>515</v>
      </c>
      <c r="D138" s="168">
        <v>1883</v>
      </c>
      <c r="E138" s="1" t="s">
        <v>664</v>
      </c>
    </row>
    <row r="139" spans="1:5" ht="12.75">
      <c r="A139" s="1">
        <v>72</v>
      </c>
      <c r="B139" s="1" t="s">
        <v>665</v>
      </c>
      <c r="C139" s="1" t="s">
        <v>573</v>
      </c>
      <c r="D139" s="168">
        <v>23844.73</v>
      </c>
      <c r="E139" s="201" t="s">
        <v>591</v>
      </c>
    </row>
    <row r="140" spans="1:5" ht="12.75">
      <c r="A140" s="1">
        <v>73</v>
      </c>
      <c r="B140" s="1" t="s">
        <v>665</v>
      </c>
      <c r="C140" s="1" t="s">
        <v>573</v>
      </c>
      <c r="D140" s="168">
        <v>26729.27</v>
      </c>
      <c r="E140" s="201" t="s">
        <v>591</v>
      </c>
    </row>
    <row r="141" spans="1:5" ht="12.75">
      <c r="A141" s="1">
        <v>74</v>
      </c>
      <c r="B141" s="1" t="s">
        <v>666</v>
      </c>
      <c r="C141" s="1" t="s">
        <v>510</v>
      </c>
      <c r="D141" s="168">
        <v>61739.02</v>
      </c>
      <c r="E141" s="1" t="s">
        <v>590</v>
      </c>
    </row>
    <row r="142" spans="1:5" ht="12.75">
      <c r="A142" s="1">
        <v>75</v>
      </c>
      <c r="B142" s="1" t="s">
        <v>666</v>
      </c>
      <c r="C142" s="1" t="s">
        <v>573</v>
      </c>
      <c r="D142" s="168">
        <v>50574</v>
      </c>
      <c r="E142" s="201" t="s">
        <v>591</v>
      </c>
    </row>
    <row r="143" spans="1:5" ht="12.75">
      <c r="A143" s="1">
        <v>76</v>
      </c>
      <c r="B143" s="1" t="s">
        <v>667</v>
      </c>
      <c r="C143" s="1" t="s">
        <v>573</v>
      </c>
      <c r="D143" s="168">
        <v>50574</v>
      </c>
      <c r="E143" s="201" t="s">
        <v>591</v>
      </c>
    </row>
    <row r="144" spans="1:5" ht="12.75">
      <c r="A144" s="1">
        <v>77</v>
      </c>
      <c r="B144" s="1" t="s">
        <v>668</v>
      </c>
      <c r="C144" s="1" t="s">
        <v>573</v>
      </c>
      <c r="D144" s="168">
        <v>50574</v>
      </c>
      <c r="E144" s="201" t="s">
        <v>591</v>
      </c>
    </row>
    <row r="145" spans="1:5" ht="12.75">
      <c r="A145" s="1">
        <v>78</v>
      </c>
      <c r="B145" s="1" t="s">
        <v>669</v>
      </c>
      <c r="C145" s="1" t="s">
        <v>510</v>
      </c>
      <c r="D145" s="168">
        <v>76230.56</v>
      </c>
      <c r="E145" s="1" t="s">
        <v>670</v>
      </c>
    </row>
    <row r="146" spans="1:5" ht="12.75">
      <c r="A146" s="1">
        <v>79</v>
      </c>
      <c r="B146" s="1" t="s">
        <v>671</v>
      </c>
      <c r="C146" s="1" t="s">
        <v>672</v>
      </c>
      <c r="D146" s="168">
        <v>234997.83</v>
      </c>
      <c r="E146" s="1"/>
    </row>
    <row r="147" spans="1:5" ht="12.75">
      <c r="A147" s="1">
        <v>80</v>
      </c>
      <c r="B147" s="1" t="s">
        <v>671</v>
      </c>
      <c r="C147" s="1" t="s">
        <v>573</v>
      </c>
      <c r="D147" s="168">
        <v>53975</v>
      </c>
      <c r="E147" s="201" t="s">
        <v>574</v>
      </c>
    </row>
    <row r="148" spans="1:5" ht="12.75">
      <c r="A148" s="1">
        <v>81</v>
      </c>
      <c r="B148" s="1" t="s">
        <v>673</v>
      </c>
      <c r="C148" s="1" t="s">
        <v>510</v>
      </c>
      <c r="D148" s="168">
        <v>49983.93</v>
      </c>
      <c r="E148" s="1" t="s">
        <v>674</v>
      </c>
    </row>
    <row r="149" spans="1:5" ht="12.75">
      <c r="A149" s="1">
        <v>82</v>
      </c>
      <c r="B149" s="1" t="s">
        <v>675</v>
      </c>
      <c r="C149" s="1" t="s">
        <v>596</v>
      </c>
      <c r="D149" s="168">
        <v>450</v>
      </c>
      <c r="E149" s="201" t="s">
        <v>599</v>
      </c>
    </row>
    <row r="150" spans="1:5" ht="12.75">
      <c r="A150" s="1">
        <v>83</v>
      </c>
      <c r="B150" s="1" t="s">
        <v>676</v>
      </c>
      <c r="C150" s="1" t="s">
        <v>510</v>
      </c>
      <c r="D150" s="168">
        <v>47484.47</v>
      </c>
      <c r="E150" s="1" t="s">
        <v>677</v>
      </c>
    </row>
    <row r="151" spans="1:5" ht="12.75">
      <c r="A151" s="1">
        <v>84</v>
      </c>
      <c r="B151" s="1" t="s">
        <v>676</v>
      </c>
      <c r="C151" s="1" t="s">
        <v>596</v>
      </c>
      <c r="D151" s="168">
        <v>450</v>
      </c>
      <c r="E151" s="201" t="s">
        <v>599</v>
      </c>
    </row>
    <row r="152" spans="1:5" ht="12.75">
      <c r="A152" s="1">
        <v>85</v>
      </c>
      <c r="B152" s="1" t="s">
        <v>678</v>
      </c>
      <c r="C152" s="1" t="s">
        <v>545</v>
      </c>
      <c r="D152" s="168">
        <v>56782.96</v>
      </c>
      <c r="E152" s="1" t="s">
        <v>679</v>
      </c>
    </row>
    <row r="153" spans="1:5" ht="12.75">
      <c r="A153" s="1">
        <v>86</v>
      </c>
      <c r="B153" s="1" t="s">
        <v>678</v>
      </c>
      <c r="C153" s="1" t="s">
        <v>510</v>
      </c>
      <c r="D153" s="168">
        <v>50686.75</v>
      </c>
      <c r="E153" s="1" t="s">
        <v>680</v>
      </c>
    </row>
    <row r="154" spans="1:5" ht="12.75">
      <c r="A154" s="1">
        <v>87</v>
      </c>
      <c r="B154" s="1" t="s">
        <v>553</v>
      </c>
      <c r="C154" s="1" t="s">
        <v>573</v>
      </c>
      <c r="D154" s="168">
        <v>34184.67</v>
      </c>
      <c r="E154" s="201" t="s">
        <v>574</v>
      </c>
    </row>
    <row r="155" spans="1:5" ht="12.75">
      <c r="A155" s="1">
        <v>88</v>
      </c>
      <c r="B155" s="1" t="s">
        <v>681</v>
      </c>
      <c r="C155" s="1" t="s">
        <v>614</v>
      </c>
      <c r="D155" s="168">
        <v>800</v>
      </c>
      <c r="E155" s="1" t="s">
        <v>629</v>
      </c>
    </row>
    <row r="156" spans="1:5" ht="12.75">
      <c r="A156" s="1">
        <v>89</v>
      </c>
      <c r="B156" s="1" t="s">
        <v>681</v>
      </c>
      <c r="C156" s="1" t="s">
        <v>614</v>
      </c>
      <c r="D156" s="168">
        <v>980</v>
      </c>
      <c r="E156" s="201" t="s">
        <v>597</v>
      </c>
    </row>
    <row r="157" spans="1:5" ht="12.75">
      <c r="A157" s="1">
        <v>90</v>
      </c>
      <c r="B157" s="1" t="s">
        <v>682</v>
      </c>
      <c r="C157" s="1" t="s">
        <v>545</v>
      </c>
      <c r="D157" s="168">
        <v>19993.36</v>
      </c>
      <c r="E157" s="1" t="s">
        <v>571</v>
      </c>
    </row>
    <row r="158" spans="1:5" ht="12.75">
      <c r="A158" s="1">
        <v>91</v>
      </c>
      <c r="B158" s="1" t="s">
        <v>682</v>
      </c>
      <c r="C158" s="1" t="s">
        <v>510</v>
      </c>
      <c r="D158" s="168">
        <v>15827.99</v>
      </c>
      <c r="E158" s="1" t="s">
        <v>571</v>
      </c>
    </row>
    <row r="159" spans="1:5" ht="12.75">
      <c r="A159" s="1">
        <v>92</v>
      </c>
      <c r="B159" s="1" t="s">
        <v>682</v>
      </c>
      <c r="C159" s="1" t="s">
        <v>683</v>
      </c>
      <c r="D159" s="168">
        <v>26856.5</v>
      </c>
      <c r="E159" s="1" t="s">
        <v>684</v>
      </c>
    </row>
    <row r="160" spans="1:5" ht="12.75">
      <c r="A160" s="1">
        <v>93</v>
      </c>
      <c r="B160" s="1" t="s">
        <v>685</v>
      </c>
      <c r="C160" s="1" t="s">
        <v>596</v>
      </c>
      <c r="D160" s="168">
        <v>450</v>
      </c>
      <c r="E160" s="201" t="s">
        <v>599</v>
      </c>
    </row>
    <row r="161" spans="1:5" ht="12.75">
      <c r="A161" s="1">
        <v>94</v>
      </c>
      <c r="B161" s="1" t="s">
        <v>686</v>
      </c>
      <c r="C161" s="1" t="s">
        <v>583</v>
      </c>
      <c r="D161" s="168">
        <f>901.75*4</f>
        <v>3607</v>
      </c>
      <c r="E161" s="201" t="s">
        <v>584</v>
      </c>
    </row>
    <row r="162" spans="1:5" ht="12.75">
      <c r="A162" s="1">
        <v>95</v>
      </c>
      <c r="B162" s="1" t="s">
        <v>687</v>
      </c>
      <c r="C162" s="1" t="s">
        <v>583</v>
      </c>
      <c r="D162" s="168">
        <f>498.21*4</f>
        <v>1992.84</v>
      </c>
      <c r="E162" s="201" t="s">
        <v>584</v>
      </c>
    </row>
    <row r="163" spans="1:5" ht="12.75">
      <c r="A163" s="1">
        <v>96</v>
      </c>
      <c r="B163" s="1" t="s">
        <v>688</v>
      </c>
      <c r="C163" s="1" t="s">
        <v>614</v>
      </c>
      <c r="D163" s="168">
        <v>980</v>
      </c>
      <c r="E163" s="201" t="s">
        <v>597</v>
      </c>
    </row>
    <row r="164" spans="1:5" ht="12.75">
      <c r="A164" s="1">
        <v>97</v>
      </c>
      <c r="B164" s="1" t="s">
        <v>689</v>
      </c>
      <c r="C164" s="1" t="s">
        <v>596</v>
      </c>
      <c r="D164" s="168">
        <v>450</v>
      </c>
      <c r="E164" s="201" t="s">
        <v>599</v>
      </c>
    </row>
    <row r="165" spans="1:5" ht="12.75">
      <c r="A165" s="1">
        <v>98</v>
      </c>
      <c r="B165" s="1" t="s">
        <v>690</v>
      </c>
      <c r="C165" s="1" t="s">
        <v>691</v>
      </c>
      <c r="D165" s="168">
        <v>1756.99</v>
      </c>
      <c r="E165" s="201">
        <v>42485</v>
      </c>
    </row>
    <row r="166" spans="1:5" ht="12.75">
      <c r="A166" s="1">
        <v>99</v>
      </c>
      <c r="B166" s="1" t="s">
        <v>692</v>
      </c>
      <c r="C166" s="1" t="s">
        <v>614</v>
      </c>
      <c r="D166" s="168">
        <v>800</v>
      </c>
      <c r="E166" s="1" t="s">
        <v>644</v>
      </c>
    </row>
    <row r="167" spans="1:5" ht="12.75">
      <c r="A167" s="1">
        <v>100</v>
      </c>
      <c r="B167" s="1" t="s">
        <v>693</v>
      </c>
      <c r="C167" s="1" t="s">
        <v>493</v>
      </c>
      <c r="D167" s="168">
        <v>6973.33</v>
      </c>
      <c r="E167" s="1" t="s">
        <v>640</v>
      </c>
    </row>
    <row r="168" spans="1:5" ht="12.75">
      <c r="A168" s="1">
        <v>101</v>
      </c>
      <c r="B168" s="1" t="s">
        <v>693</v>
      </c>
      <c r="C168" s="1" t="s">
        <v>583</v>
      </c>
      <c r="D168" s="168">
        <f>763.33*4</f>
        <v>3053.32</v>
      </c>
      <c r="E168" s="201" t="s">
        <v>584</v>
      </c>
    </row>
    <row r="169" spans="1:5" ht="12.75">
      <c r="A169" s="1">
        <v>102</v>
      </c>
      <c r="B169" s="1" t="s">
        <v>694</v>
      </c>
      <c r="C169" s="1" t="s">
        <v>510</v>
      </c>
      <c r="D169" s="168">
        <v>9917.89</v>
      </c>
      <c r="E169" s="1" t="s">
        <v>578</v>
      </c>
    </row>
    <row r="170" spans="1:5" ht="12.75">
      <c r="A170" s="1">
        <v>103</v>
      </c>
      <c r="B170" s="1" t="s">
        <v>560</v>
      </c>
      <c r="C170" s="1" t="s">
        <v>657</v>
      </c>
      <c r="D170" s="168">
        <v>800</v>
      </c>
      <c r="E170" s="1" t="s">
        <v>658</v>
      </c>
    </row>
    <row r="171" spans="1:5" ht="12.75">
      <c r="A171" s="1">
        <v>104</v>
      </c>
      <c r="B171" s="1" t="s">
        <v>560</v>
      </c>
      <c r="C171" s="1" t="s">
        <v>493</v>
      </c>
      <c r="D171" s="168">
        <v>3816.67</v>
      </c>
      <c r="E171" s="1" t="s">
        <v>494</v>
      </c>
    </row>
    <row r="172" spans="1:5" ht="12.75">
      <c r="A172" s="1">
        <v>105</v>
      </c>
      <c r="B172" s="1" t="s">
        <v>695</v>
      </c>
      <c r="C172" s="1" t="s">
        <v>583</v>
      </c>
      <c r="D172" s="168">
        <f>1451.09*4</f>
        <v>5804.36</v>
      </c>
      <c r="E172" s="201" t="s">
        <v>584</v>
      </c>
    </row>
    <row r="173" spans="1:5" ht="12.75">
      <c r="A173" s="1">
        <v>106</v>
      </c>
      <c r="B173" s="1" t="s">
        <v>696</v>
      </c>
      <c r="C173" s="1" t="s">
        <v>583</v>
      </c>
      <c r="D173" s="168">
        <f>1358.49*4</f>
        <v>5433.96</v>
      </c>
      <c r="E173" s="201" t="s">
        <v>584</v>
      </c>
    </row>
    <row r="174" spans="1:5" ht="12.75">
      <c r="A174" s="1">
        <v>107</v>
      </c>
      <c r="B174" s="1" t="s">
        <v>697</v>
      </c>
      <c r="C174" s="1" t="s">
        <v>583</v>
      </c>
      <c r="D174" s="168">
        <f>478.31*4</f>
        <v>1913.24</v>
      </c>
      <c r="E174" s="201" t="s">
        <v>584</v>
      </c>
    </row>
    <row r="175" spans="1:5" ht="12.75">
      <c r="A175" s="1">
        <v>108</v>
      </c>
      <c r="B175" s="1" t="s">
        <v>698</v>
      </c>
      <c r="C175" s="1" t="s">
        <v>596</v>
      </c>
      <c r="D175" s="168">
        <v>450</v>
      </c>
      <c r="E175" s="201" t="s">
        <v>599</v>
      </c>
    </row>
    <row r="176" spans="1:5" ht="12.75">
      <c r="A176" s="1">
        <v>109</v>
      </c>
      <c r="B176" s="1" t="s">
        <v>699</v>
      </c>
      <c r="C176" s="1" t="s">
        <v>583</v>
      </c>
      <c r="D176" s="168">
        <f>3966.2*4</f>
        <v>15864.8</v>
      </c>
      <c r="E176" s="201" t="s">
        <v>584</v>
      </c>
    </row>
    <row r="177" spans="1:5" ht="12.75">
      <c r="A177" s="1">
        <v>110</v>
      </c>
      <c r="B177" s="1" t="s">
        <v>700</v>
      </c>
      <c r="C177" s="1" t="s">
        <v>573</v>
      </c>
      <c r="D177" s="168">
        <v>50574</v>
      </c>
      <c r="E177" s="201" t="s">
        <v>591</v>
      </c>
    </row>
    <row r="178" spans="1:5" ht="12.75">
      <c r="A178" s="1">
        <v>111</v>
      </c>
      <c r="B178" s="1" t="s">
        <v>701</v>
      </c>
      <c r="C178" s="1" t="s">
        <v>583</v>
      </c>
      <c r="D178" s="168">
        <f>2222.86*4</f>
        <v>8891.44</v>
      </c>
      <c r="E178" s="201" t="s">
        <v>584</v>
      </c>
    </row>
    <row r="179" spans="1:5" ht="12.75">
      <c r="A179" s="1">
        <v>112</v>
      </c>
      <c r="B179" s="1" t="s">
        <v>702</v>
      </c>
      <c r="C179" s="1" t="s">
        <v>583</v>
      </c>
      <c r="D179" s="168">
        <f>2286.98*4</f>
        <v>9147.92</v>
      </c>
      <c r="E179" s="201" t="s">
        <v>584</v>
      </c>
    </row>
    <row r="180" spans="1:5" ht="12.75">
      <c r="A180" s="1"/>
      <c r="B180" s="1"/>
      <c r="C180" s="1"/>
      <c r="D180" s="9">
        <f>SUM(D67:D135)</f>
        <v>1358793.1700000002</v>
      </c>
      <c r="E180" s="1"/>
    </row>
    <row r="181" ht="12.75">
      <c r="D181" s="202"/>
    </row>
    <row r="182" ht="12.75">
      <c r="D182" s="202"/>
    </row>
    <row r="183" spans="1:5" ht="18">
      <c r="A183" s="225" t="s">
        <v>703</v>
      </c>
      <c r="B183" s="225"/>
      <c r="C183" s="225"/>
      <c r="D183" s="225"/>
      <c r="E183" s="225"/>
    </row>
    <row r="184" spans="1:5" ht="15">
      <c r="A184" s="203"/>
      <c r="B184" s="204"/>
      <c r="C184" s="204"/>
      <c r="D184" s="198"/>
      <c r="E184" s="204"/>
    </row>
    <row r="185" spans="1:5" ht="12.75">
      <c r="A185" s="41" t="s">
        <v>482</v>
      </c>
      <c r="B185" s="41" t="s">
        <v>370</v>
      </c>
      <c r="C185" s="41" t="s">
        <v>483</v>
      </c>
      <c r="D185" s="199" t="s">
        <v>484</v>
      </c>
      <c r="E185" s="41" t="s">
        <v>485</v>
      </c>
    </row>
    <row r="186" spans="1:5" ht="12.75">
      <c r="A186" s="43"/>
      <c r="B186" s="43"/>
      <c r="C186" s="43"/>
      <c r="D186" s="200"/>
      <c r="E186" s="43"/>
    </row>
    <row r="187" spans="1:5" ht="12.75">
      <c r="A187" s="1">
        <v>1</v>
      </c>
      <c r="B187" s="1" t="s">
        <v>704</v>
      </c>
      <c r="C187" s="1" t="s">
        <v>705</v>
      </c>
      <c r="D187" s="168">
        <v>980</v>
      </c>
      <c r="E187" s="201" t="s">
        <v>706</v>
      </c>
    </row>
    <row r="188" spans="1:5" ht="12.75">
      <c r="A188" s="1">
        <v>2</v>
      </c>
      <c r="B188" s="1" t="s">
        <v>704</v>
      </c>
      <c r="C188" s="1" t="s">
        <v>707</v>
      </c>
      <c r="D188" s="168">
        <v>450</v>
      </c>
      <c r="E188" s="201" t="s">
        <v>708</v>
      </c>
    </row>
    <row r="189" spans="1:5" ht="12.75">
      <c r="A189" s="1">
        <v>3</v>
      </c>
      <c r="B189" s="1" t="s">
        <v>704</v>
      </c>
      <c r="C189" s="1" t="s">
        <v>573</v>
      </c>
      <c r="D189" s="168">
        <v>73011</v>
      </c>
      <c r="E189" s="201" t="s">
        <v>706</v>
      </c>
    </row>
    <row r="190" spans="1:5" ht="12.75">
      <c r="A190" s="1">
        <v>4</v>
      </c>
      <c r="B190" s="1" t="s">
        <v>709</v>
      </c>
      <c r="C190" s="1" t="s">
        <v>707</v>
      </c>
      <c r="D190" s="168">
        <v>980</v>
      </c>
      <c r="E190" s="201" t="s">
        <v>710</v>
      </c>
    </row>
    <row r="191" spans="1:5" ht="12.75">
      <c r="A191" s="1">
        <v>5</v>
      </c>
      <c r="B191" s="1" t="s">
        <v>711</v>
      </c>
      <c r="C191" s="1" t="s">
        <v>510</v>
      </c>
      <c r="D191" s="168">
        <f>3695.53+4170.69</f>
        <v>7866.219999999999</v>
      </c>
      <c r="E191" s="201" t="s">
        <v>712</v>
      </c>
    </row>
    <row r="192" spans="1:5" ht="12.75">
      <c r="A192" s="1">
        <v>6</v>
      </c>
      <c r="B192" s="1" t="s">
        <v>713</v>
      </c>
      <c r="C192" s="1" t="s">
        <v>707</v>
      </c>
      <c r="D192" s="168">
        <v>450</v>
      </c>
      <c r="E192" s="201" t="s">
        <v>710</v>
      </c>
    </row>
    <row r="193" spans="1:5" ht="12.75">
      <c r="A193" s="1">
        <v>7</v>
      </c>
      <c r="B193" s="1" t="s">
        <v>714</v>
      </c>
      <c r="C193" s="1" t="s">
        <v>573</v>
      </c>
      <c r="D193" s="168">
        <v>25609.29</v>
      </c>
      <c r="E193" s="201" t="s">
        <v>715</v>
      </c>
    </row>
    <row r="194" spans="1:5" ht="12.75">
      <c r="A194" s="1">
        <v>8</v>
      </c>
      <c r="B194" s="1" t="s">
        <v>486</v>
      </c>
      <c r="C194" s="1" t="s">
        <v>573</v>
      </c>
      <c r="D194" s="168">
        <v>4653.28</v>
      </c>
      <c r="E194" s="201" t="s">
        <v>716</v>
      </c>
    </row>
    <row r="195" spans="1:5" ht="12.75">
      <c r="A195" s="1">
        <v>9</v>
      </c>
      <c r="B195" s="1" t="s">
        <v>486</v>
      </c>
      <c r="C195" s="1" t="s">
        <v>573</v>
      </c>
      <c r="D195" s="168">
        <v>3016.92</v>
      </c>
      <c r="E195" s="201" t="s">
        <v>715</v>
      </c>
    </row>
    <row r="196" spans="1:5" ht="12.75">
      <c r="A196" s="1">
        <v>10</v>
      </c>
      <c r="B196" s="1" t="s">
        <v>717</v>
      </c>
      <c r="C196" s="1" t="s">
        <v>705</v>
      </c>
      <c r="D196" s="168">
        <v>450</v>
      </c>
      <c r="E196" s="205" t="s">
        <v>718</v>
      </c>
    </row>
    <row r="197" spans="1:5" ht="12.75">
      <c r="A197" s="1">
        <v>11</v>
      </c>
      <c r="B197" s="1" t="s">
        <v>717</v>
      </c>
      <c r="C197" s="1" t="s">
        <v>573</v>
      </c>
      <c r="D197" s="168">
        <v>37850</v>
      </c>
      <c r="E197" s="201" t="s">
        <v>716</v>
      </c>
    </row>
    <row r="198" spans="1:5" ht="12.75">
      <c r="A198" s="1">
        <v>12</v>
      </c>
      <c r="B198" s="1" t="s">
        <v>717</v>
      </c>
      <c r="C198" s="1" t="s">
        <v>705</v>
      </c>
      <c r="D198" s="168">
        <v>980</v>
      </c>
      <c r="E198" s="201" t="s">
        <v>706</v>
      </c>
    </row>
    <row r="199" spans="1:5" ht="12.75">
      <c r="A199" s="1">
        <v>13</v>
      </c>
      <c r="B199" s="1" t="s">
        <v>489</v>
      </c>
      <c r="C199" s="1" t="s">
        <v>573</v>
      </c>
      <c r="D199" s="168">
        <v>18247</v>
      </c>
      <c r="E199" s="201" t="s">
        <v>719</v>
      </c>
    </row>
    <row r="200" spans="1:5" ht="12.75">
      <c r="A200" s="1">
        <v>14</v>
      </c>
      <c r="B200" s="1" t="s">
        <v>720</v>
      </c>
      <c r="C200" s="1" t="s">
        <v>510</v>
      </c>
      <c r="D200" s="168">
        <v>32616.88</v>
      </c>
      <c r="E200" s="201" t="s">
        <v>721</v>
      </c>
    </row>
    <row r="201" spans="1:5" ht="12.75">
      <c r="A201" s="1">
        <v>15</v>
      </c>
      <c r="B201" s="1" t="s">
        <v>720</v>
      </c>
      <c r="C201" s="1" t="s">
        <v>573</v>
      </c>
      <c r="D201" s="168">
        <v>26109.49</v>
      </c>
      <c r="E201" s="201" t="s">
        <v>716</v>
      </c>
    </row>
    <row r="202" spans="1:5" ht="12.75">
      <c r="A202" s="1">
        <v>16</v>
      </c>
      <c r="B202" s="1" t="s">
        <v>720</v>
      </c>
      <c r="C202" s="1" t="s">
        <v>573</v>
      </c>
      <c r="D202" s="168">
        <v>8900.27</v>
      </c>
      <c r="E202" s="201" t="s">
        <v>716</v>
      </c>
    </row>
    <row r="203" spans="1:5" ht="12.75">
      <c r="A203" s="1">
        <v>17</v>
      </c>
      <c r="B203" s="1" t="s">
        <v>720</v>
      </c>
      <c r="C203" s="1" t="s">
        <v>705</v>
      </c>
      <c r="D203" s="168">
        <v>980</v>
      </c>
      <c r="E203" s="201" t="s">
        <v>706</v>
      </c>
    </row>
    <row r="204" spans="1:5" ht="12.75">
      <c r="A204" s="1">
        <v>18</v>
      </c>
      <c r="B204" s="1" t="s">
        <v>504</v>
      </c>
      <c r="C204" s="1" t="s">
        <v>722</v>
      </c>
      <c r="D204" s="168">
        <v>5434.92</v>
      </c>
      <c r="E204" s="1" t="s">
        <v>723</v>
      </c>
    </row>
    <row r="205" spans="1:5" ht="12.75">
      <c r="A205" s="1">
        <v>19</v>
      </c>
      <c r="B205" s="1" t="s">
        <v>724</v>
      </c>
      <c r="C205" s="1" t="s">
        <v>573</v>
      </c>
      <c r="D205" s="168">
        <v>18186.35</v>
      </c>
      <c r="E205" s="201" t="s">
        <v>716</v>
      </c>
    </row>
    <row r="206" spans="1:5" ht="12.75">
      <c r="A206" s="1">
        <v>20</v>
      </c>
      <c r="B206" s="1" t="s">
        <v>725</v>
      </c>
      <c r="C206" s="1" t="s">
        <v>573</v>
      </c>
      <c r="D206" s="168">
        <v>13395.62</v>
      </c>
      <c r="E206" s="201" t="s">
        <v>716</v>
      </c>
    </row>
    <row r="207" spans="1:5" ht="12.75">
      <c r="A207" s="1">
        <v>21</v>
      </c>
      <c r="B207" s="1" t="s">
        <v>725</v>
      </c>
      <c r="C207" s="1" t="s">
        <v>573</v>
      </c>
      <c r="D207" s="168">
        <v>5937.04</v>
      </c>
      <c r="E207" s="201" t="s">
        <v>716</v>
      </c>
    </row>
    <row r="208" spans="1:5" ht="12.75">
      <c r="A208" s="1">
        <v>22</v>
      </c>
      <c r="B208" s="1" t="s">
        <v>507</v>
      </c>
      <c r="C208" s="1" t="s">
        <v>705</v>
      </c>
      <c r="D208" s="168">
        <v>980</v>
      </c>
      <c r="E208" s="201" t="s">
        <v>726</v>
      </c>
    </row>
    <row r="209" spans="1:5" ht="12.75">
      <c r="A209" s="1">
        <v>23</v>
      </c>
      <c r="B209" s="1" t="s">
        <v>509</v>
      </c>
      <c r="C209" s="1" t="s">
        <v>573</v>
      </c>
      <c r="D209" s="168">
        <v>50784</v>
      </c>
      <c r="E209" s="201" t="s">
        <v>716</v>
      </c>
    </row>
    <row r="210" spans="1:5" ht="12.75">
      <c r="A210" s="1">
        <v>24</v>
      </c>
      <c r="B210" s="1" t="s">
        <v>727</v>
      </c>
      <c r="C210" s="1" t="s">
        <v>728</v>
      </c>
      <c r="D210" s="168">
        <v>6400</v>
      </c>
      <c r="E210" s="201" t="s">
        <v>729</v>
      </c>
    </row>
    <row r="211" spans="1:5" ht="12.75">
      <c r="A211" s="1">
        <v>25</v>
      </c>
      <c r="B211" s="1" t="s">
        <v>727</v>
      </c>
      <c r="C211" s="1" t="s">
        <v>705</v>
      </c>
      <c r="D211" s="168">
        <v>980</v>
      </c>
      <c r="E211" s="201" t="s">
        <v>730</v>
      </c>
    </row>
    <row r="212" spans="1:5" ht="12.75">
      <c r="A212" s="1">
        <v>26</v>
      </c>
      <c r="B212" s="1" t="s">
        <v>516</v>
      </c>
      <c r="C212" s="1" t="s">
        <v>573</v>
      </c>
      <c r="D212" s="168">
        <v>51099.61</v>
      </c>
      <c r="E212" s="201" t="s">
        <v>715</v>
      </c>
    </row>
    <row r="213" spans="1:5" ht="12.75">
      <c r="A213" s="1">
        <v>27</v>
      </c>
      <c r="B213" s="1" t="s">
        <v>731</v>
      </c>
      <c r="C213" s="1" t="s">
        <v>705</v>
      </c>
      <c r="D213" s="168">
        <v>450</v>
      </c>
      <c r="E213" s="205" t="s">
        <v>718</v>
      </c>
    </row>
    <row r="214" spans="1:5" ht="12.75">
      <c r="A214" s="1">
        <v>28</v>
      </c>
      <c r="B214" s="1" t="s">
        <v>595</v>
      </c>
      <c r="C214" s="1" t="s">
        <v>573</v>
      </c>
      <c r="D214" s="168">
        <v>16282.68</v>
      </c>
      <c r="E214" s="201" t="s">
        <v>716</v>
      </c>
    </row>
    <row r="215" spans="1:5" ht="12.75">
      <c r="A215" s="1">
        <v>29</v>
      </c>
      <c r="B215" s="1" t="s">
        <v>732</v>
      </c>
      <c r="C215" s="1" t="s">
        <v>705</v>
      </c>
      <c r="D215" s="168">
        <v>980</v>
      </c>
      <c r="E215" s="201" t="s">
        <v>706</v>
      </c>
    </row>
    <row r="216" spans="1:5" ht="12.75">
      <c r="A216" s="1">
        <v>30</v>
      </c>
      <c r="B216" s="1" t="s">
        <v>733</v>
      </c>
      <c r="C216" s="1" t="s">
        <v>705</v>
      </c>
      <c r="D216" s="168">
        <v>980</v>
      </c>
      <c r="E216" s="201" t="s">
        <v>706</v>
      </c>
    </row>
    <row r="217" spans="1:5" ht="12.75">
      <c r="A217" s="1">
        <v>31</v>
      </c>
      <c r="B217" s="1" t="s">
        <v>603</v>
      </c>
      <c r="C217" s="1" t="s">
        <v>734</v>
      </c>
      <c r="D217" s="168">
        <v>1628.98</v>
      </c>
      <c r="E217" s="205" t="s">
        <v>715</v>
      </c>
    </row>
    <row r="218" spans="1:5" ht="12.75">
      <c r="A218" s="1">
        <v>32</v>
      </c>
      <c r="B218" s="1" t="s">
        <v>735</v>
      </c>
      <c r="C218" s="1" t="s">
        <v>736</v>
      </c>
      <c r="D218" s="168">
        <v>24554</v>
      </c>
      <c r="E218" s="205" t="s">
        <v>737</v>
      </c>
    </row>
    <row r="219" spans="1:5" ht="12.75">
      <c r="A219" s="1">
        <v>33</v>
      </c>
      <c r="B219" s="1" t="s">
        <v>613</v>
      </c>
      <c r="C219" s="1" t="s">
        <v>510</v>
      </c>
      <c r="D219" s="168">
        <v>96608.68</v>
      </c>
      <c r="E219" s="205" t="s">
        <v>738</v>
      </c>
    </row>
    <row r="220" spans="1:5" ht="12.75">
      <c r="A220" s="1">
        <v>34</v>
      </c>
      <c r="B220" s="1" t="s">
        <v>615</v>
      </c>
      <c r="C220" s="1" t="s">
        <v>515</v>
      </c>
      <c r="D220" s="168">
        <v>1628.98</v>
      </c>
      <c r="E220" s="201" t="s">
        <v>739</v>
      </c>
    </row>
    <row r="221" spans="1:5" ht="12.75">
      <c r="A221" s="1">
        <v>35</v>
      </c>
      <c r="B221" s="1" t="s">
        <v>525</v>
      </c>
      <c r="C221" s="1" t="s">
        <v>705</v>
      </c>
      <c r="D221" s="168">
        <v>1960</v>
      </c>
      <c r="E221" s="205" t="s">
        <v>718</v>
      </c>
    </row>
    <row r="222" spans="1:5" ht="12.75">
      <c r="A222" s="1">
        <v>36</v>
      </c>
      <c r="B222" s="1" t="s">
        <v>740</v>
      </c>
      <c r="C222" s="1" t="s">
        <v>705</v>
      </c>
      <c r="D222" s="168">
        <v>980</v>
      </c>
      <c r="E222" s="201" t="s">
        <v>741</v>
      </c>
    </row>
    <row r="223" spans="1:5" ht="12.75">
      <c r="A223" s="1">
        <v>38</v>
      </c>
      <c r="B223" s="1" t="s">
        <v>742</v>
      </c>
      <c r="C223" s="1" t="s">
        <v>573</v>
      </c>
      <c r="D223" s="168">
        <v>49890.65</v>
      </c>
      <c r="E223" s="201" t="s">
        <v>743</v>
      </c>
    </row>
    <row r="224" spans="1:5" ht="12.75">
      <c r="A224" s="1">
        <v>39</v>
      </c>
      <c r="B224" s="1" t="s">
        <v>744</v>
      </c>
      <c r="C224" s="1" t="s">
        <v>745</v>
      </c>
      <c r="D224" s="168">
        <v>8520</v>
      </c>
      <c r="E224" s="201" t="s">
        <v>716</v>
      </c>
    </row>
    <row r="225" spans="1:5" ht="12.75">
      <c r="A225" s="1">
        <v>40</v>
      </c>
      <c r="B225" s="1" t="s">
        <v>744</v>
      </c>
      <c r="C225" s="1" t="s">
        <v>705</v>
      </c>
      <c r="D225" s="168">
        <v>980</v>
      </c>
      <c r="E225" s="201" t="s">
        <v>726</v>
      </c>
    </row>
    <row r="226" spans="1:5" ht="12.75">
      <c r="A226" s="1">
        <v>41</v>
      </c>
      <c r="B226" s="1" t="s">
        <v>620</v>
      </c>
      <c r="C226" s="1" t="s">
        <v>707</v>
      </c>
      <c r="D226" s="168">
        <v>450</v>
      </c>
      <c r="E226" s="201" t="s">
        <v>730</v>
      </c>
    </row>
    <row r="227" spans="1:5" ht="12.75">
      <c r="A227" s="1">
        <v>42</v>
      </c>
      <c r="B227" s="1" t="s">
        <v>746</v>
      </c>
      <c r="C227" s="1" t="s">
        <v>515</v>
      </c>
      <c r="D227" s="168">
        <v>1954.08</v>
      </c>
      <c r="E227" s="201" t="s">
        <v>747</v>
      </c>
    </row>
    <row r="228" spans="1:5" ht="12.75">
      <c r="A228" s="1">
        <v>43</v>
      </c>
      <c r="B228" s="1" t="s">
        <v>746</v>
      </c>
      <c r="C228" s="1" t="s">
        <v>510</v>
      </c>
      <c r="D228" s="168">
        <v>45827.3</v>
      </c>
      <c r="E228" s="201" t="s">
        <v>748</v>
      </c>
    </row>
    <row r="229" spans="1:5" ht="12.75">
      <c r="A229" s="1">
        <v>44</v>
      </c>
      <c r="B229" s="1" t="s">
        <v>749</v>
      </c>
      <c r="C229" s="1" t="s">
        <v>573</v>
      </c>
      <c r="D229" s="168">
        <v>23322.49</v>
      </c>
      <c r="E229" s="201" t="s">
        <v>716</v>
      </c>
    </row>
    <row r="230" spans="1:5" ht="12.75">
      <c r="A230" s="1">
        <v>45</v>
      </c>
      <c r="B230" s="1" t="s">
        <v>749</v>
      </c>
      <c r="C230" s="1" t="s">
        <v>510</v>
      </c>
      <c r="D230" s="168">
        <v>82721.39</v>
      </c>
      <c r="E230" s="201" t="s">
        <v>750</v>
      </c>
    </row>
    <row r="231" spans="1:5" ht="12.75">
      <c r="A231" s="1">
        <v>46</v>
      </c>
      <c r="B231" s="1" t="s">
        <v>627</v>
      </c>
      <c r="C231" s="1" t="s">
        <v>707</v>
      </c>
      <c r="D231" s="168">
        <v>450</v>
      </c>
      <c r="E231" s="201" t="s">
        <v>710</v>
      </c>
    </row>
    <row r="232" spans="1:5" ht="12.75">
      <c r="A232" s="1">
        <v>47</v>
      </c>
      <c r="B232" s="1" t="s">
        <v>630</v>
      </c>
      <c r="C232" s="1" t="s">
        <v>728</v>
      </c>
      <c r="D232" s="168">
        <v>1600</v>
      </c>
      <c r="E232" s="205" t="s">
        <v>751</v>
      </c>
    </row>
    <row r="233" spans="1:5" ht="12.75">
      <c r="A233" s="1">
        <v>48</v>
      </c>
      <c r="B233" s="1" t="s">
        <v>752</v>
      </c>
      <c r="C233" s="1" t="s">
        <v>573</v>
      </c>
      <c r="D233" s="168">
        <v>45453.79</v>
      </c>
      <c r="E233" s="201" t="s">
        <v>716</v>
      </c>
    </row>
    <row r="234" spans="1:5" ht="12.75">
      <c r="A234" s="1">
        <v>49</v>
      </c>
      <c r="B234" s="1" t="s">
        <v>753</v>
      </c>
      <c r="C234" s="1" t="s">
        <v>754</v>
      </c>
      <c r="D234" s="168">
        <v>8354.4</v>
      </c>
      <c r="E234" s="201" t="s">
        <v>743</v>
      </c>
    </row>
    <row r="235" spans="1:5" ht="12.75">
      <c r="A235" s="1">
        <v>52</v>
      </c>
      <c r="B235" s="1" t="s">
        <v>535</v>
      </c>
      <c r="C235" s="1" t="s">
        <v>573</v>
      </c>
      <c r="D235" s="168">
        <v>12805.51</v>
      </c>
      <c r="E235" s="201" t="s">
        <v>743</v>
      </c>
    </row>
    <row r="236" spans="1:5" ht="12.75">
      <c r="A236" s="1">
        <v>53</v>
      </c>
      <c r="B236" s="1" t="s">
        <v>538</v>
      </c>
      <c r="C236" s="1" t="s">
        <v>707</v>
      </c>
      <c r="D236" s="168">
        <v>450</v>
      </c>
      <c r="E236" s="201" t="s">
        <v>708</v>
      </c>
    </row>
    <row r="237" spans="1:5" ht="12.75">
      <c r="A237" s="1">
        <v>55</v>
      </c>
      <c r="B237" s="1" t="s">
        <v>755</v>
      </c>
      <c r="C237" s="1" t="s">
        <v>515</v>
      </c>
      <c r="D237" s="168">
        <v>1392.32</v>
      </c>
      <c r="E237" s="201" t="s">
        <v>712</v>
      </c>
    </row>
    <row r="238" spans="1:5" ht="12.75">
      <c r="A238" s="1">
        <v>56</v>
      </c>
      <c r="B238" s="1" t="s">
        <v>755</v>
      </c>
      <c r="C238" s="1" t="s">
        <v>510</v>
      </c>
      <c r="D238" s="168">
        <v>9983.22</v>
      </c>
      <c r="E238" s="201" t="s">
        <v>721</v>
      </c>
    </row>
    <row r="239" spans="1:5" ht="12.75">
      <c r="A239" s="1">
        <v>57</v>
      </c>
      <c r="B239" s="1" t="s">
        <v>756</v>
      </c>
      <c r="C239" s="1" t="s">
        <v>510</v>
      </c>
      <c r="D239" s="168">
        <v>42051.38</v>
      </c>
      <c r="E239" s="201" t="s">
        <v>757</v>
      </c>
    </row>
    <row r="240" spans="1:5" ht="12.75">
      <c r="A240" s="1">
        <v>58</v>
      </c>
      <c r="B240" s="1" t="s">
        <v>758</v>
      </c>
      <c r="C240" s="1" t="s">
        <v>573</v>
      </c>
      <c r="D240" s="168">
        <v>27724.63</v>
      </c>
      <c r="E240" s="201" t="s">
        <v>759</v>
      </c>
    </row>
    <row r="241" spans="1:5" ht="12.75">
      <c r="A241" s="1">
        <v>59</v>
      </c>
      <c r="B241" s="1" t="s">
        <v>760</v>
      </c>
      <c r="C241" s="1" t="s">
        <v>705</v>
      </c>
      <c r="D241" s="168">
        <v>980</v>
      </c>
      <c r="E241" s="201" t="s">
        <v>726</v>
      </c>
    </row>
    <row r="242" spans="1:5" ht="12.75">
      <c r="A242" s="1">
        <v>60</v>
      </c>
      <c r="B242" s="1" t="s">
        <v>761</v>
      </c>
      <c r="C242" s="1" t="s">
        <v>722</v>
      </c>
      <c r="D242" s="168">
        <v>5540.91</v>
      </c>
      <c r="E242" s="1" t="s">
        <v>723</v>
      </c>
    </row>
    <row r="243" spans="1:5" ht="12.75">
      <c r="A243" s="1">
        <v>61</v>
      </c>
      <c r="B243" s="1" t="s">
        <v>762</v>
      </c>
      <c r="C243" s="1" t="s">
        <v>510</v>
      </c>
      <c r="D243" s="168">
        <v>25119.12</v>
      </c>
      <c r="E243" s="201" t="s">
        <v>763</v>
      </c>
    </row>
    <row r="244" spans="1:5" ht="12.75">
      <c r="A244" s="1">
        <v>62</v>
      </c>
      <c r="B244" s="1" t="s">
        <v>764</v>
      </c>
      <c r="C244" s="1" t="s">
        <v>722</v>
      </c>
      <c r="D244" s="168">
        <v>5490.5</v>
      </c>
      <c r="E244" s="1" t="s">
        <v>723</v>
      </c>
    </row>
    <row r="245" spans="1:5" ht="12.75">
      <c r="A245" s="1">
        <v>63</v>
      </c>
      <c r="B245" s="1" t="s">
        <v>765</v>
      </c>
      <c r="C245" s="1" t="s">
        <v>722</v>
      </c>
      <c r="D245" s="168">
        <v>3933.67</v>
      </c>
      <c r="E245" s="1" t="s">
        <v>723</v>
      </c>
    </row>
    <row r="246" spans="1:5" ht="12.75">
      <c r="A246" s="1">
        <v>64</v>
      </c>
      <c r="B246" s="1" t="s">
        <v>765</v>
      </c>
      <c r="C246" s="1" t="s">
        <v>573</v>
      </c>
      <c r="D246" s="168">
        <v>5555.76</v>
      </c>
      <c r="E246" s="201" t="s">
        <v>706</v>
      </c>
    </row>
    <row r="247" spans="1:5" ht="12.75">
      <c r="A247" s="1">
        <v>65</v>
      </c>
      <c r="B247" s="1" t="s">
        <v>765</v>
      </c>
      <c r="C247" s="1" t="s">
        <v>573</v>
      </c>
      <c r="D247" s="168">
        <v>13637.24</v>
      </c>
      <c r="E247" s="201" t="s">
        <v>706</v>
      </c>
    </row>
    <row r="248" spans="1:5" ht="12.75">
      <c r="A248" s="1">
        <v>67</v>
      </c>
      <c r="B248" s="1" t="s">
        <v>766</v>
      </c>
      <c r="C248" s="1" t="s">
        <v>510</v>
      </c>
      <c r="D248" s="168">
        <v>32270.72</v>
      </c>
      <c r="E248" s="201" t="s">
        <v>763</v>
      </c>
    </row>
    <row r="249" spans="1:5" ht="12.75">
      <c r="A249" s="1">
        <v>68</v>
      </c>
      <c r="B249" s="1" t="s">
        <v>766</v>
      </c>
      <c r="C249" s="1" t="s">
        <v>767</v>
      </c>
      <c r="D249" s="168">
        <v>893.6</v>
      </c>
      <c r="E249" s="201" t="s">
        <v>768</v>
      </c>
    </row>
    <row r="250" spans="1:5" ht="12.75">
      <c r="A250" s="1">
        <v>69</v>
      </c>
      <c r="B250" s="1" t="s">
        <v>769</v>
      </c>
      <c r="C250" s="1" t="s">
        <v>510</v>
      </c>
      <c r="D250" s="168">
        <v>25789.29</v>
      </c>
      <c r="E250" s="201" t="s">
        <v>770</v>
      </c>
    </row>
    <row r="251" spans="1:5" ht="12.75">
      <c r="A251" s="1">
        <v>70</v>
      </c>
      <c r="B251" s="1" t="s">
        <v>660</v>
      </c>
      <c r="C251" s="1" t="s">
        <v>705</v>
      </c>
      <c r="D251" s="168">
        <v>980</v>
      </c>
      <c r="E251" s="205" t="s">
        <v>718</v>
      </c>
    </row>
    <row r="252" spans="1:5" ht="12.75">
      <c r="A252" s="1">
        <v>71</v>
      </c>
      <c r="B252" s="1" t="s">
        <v>660</v>
      </c>
      <c r="C252" s="1" t="s">
        <v>705</v>
      </c>
      <c r="D252" s="168">
        <v>980</v>
      </c>
      <c r="E252" s="201" t="s">
        <v>710</v>
      </c>
    </row>
    <row r="253" spans="1:5" ht="12.75">
      <c r="A253" s="1">
        <v>72</v>
      </c>
      <c r="B253" s="1" t="s">
        <v>771</v>
      </c>
      <c r="C253" s="1" t="s">
        <v>772</v>
      </c>
      <c r="D253" s="168">
        <v>13305.68</v>
      </c>
      <c r="E253" s="1" t="s">
        <v>773</v>
      </c>
    </row>
    <row r="254" spans="1:5" ht="12.75">
      <c r="A254" s="1">
        <v>73</v>
      </c>
      <c r="B254" s="1" t="s">
        <v>663</v>
      </c>
      <c r="C254" s="1" t="s">
        <v>707</v>
      </c>
      <c r="D254" s="168">
        <v>450</v>
      </c>
      <c r="E254" s="201" t="s">
        <v>710</v>
      </c>
    </row>
    <row r="255" spans="1:5" ht="12.75">
      <c r="A255" s="1">
        <v>74</v>
      </c>
      <c r="B255" s="1" t="s">
        <v>663</v>
      </c>
      <c r="C255" s="1" t="s">
        <v>705</v>
      </c>
      <c r="D255" s="168">
        <v>980</v>
      </c>
      <c r="E255" s="201" t="s">
        <v>710</v>
      </c>
    </row>
    <row r="256" spans="1:5" ht="12.75">
      <c r="A256" s="1">
        <v>75</v>
      </c>
      <c r="B256" s="1" t="s">
        <v>666</v>
      </c>
      <c r="C256" s="1" t="s">
        <v>707</v>
      </c>
      <c r="D256" s="168">
        <v>450</v>
      </c>
      <c r="E256" s="201" t="s">
        <v>708</v>
      </c>
    </row>
    <row r="257" spans="1:5" ht="12.75">
      <c r="A257" s="1">
        <v>76</v>
      </c>
      <c r="B257" s="1" t="s">
        <v>543</v>
      </c>
      <c r="C257" s="1" t="s">
        <v>705</v>
      </c>
      <c r="D257" s="168">
        <v>980</v>
      </c>
      <c r="E257" s="201" t="s">
        <v>706</v>
      </c>
    </row>
    <row r="258" spans="1:5" ht="12.75">
      <c r="A258" s="1">
        <v>77</v>
      </c>
      <c r="B258" s="1" t="s">
        <v>668</v>
      </c>
      <c r="C258" s="1" t="s">
        <v>705</v>
      </c>
      <c r="D258" s="168">
        <v>980</v>
      </c>
      <c r="E258" s="201" t="s">
        <v>706</v>
      </c>
    </row>
    <row r="259" spans="1:5" ht="12.75">
      <c r="A259" s="1">
        <v>78</v>
      </c>
      <c r="B259" s="1" t="s">
        <v>774</v>
      </c>
      <c r="C259" s="1" t="s">
        <v>705</v>
      </c>
      <c r="D259" s="168">
        <v>980</v>
      </c>
      <c r="E259" s="201" t="s">
        <v>706</v>
      </c>
    </row>
    <row r="260" spans="1:5" ht="12.75">
      <c r="A260" s="1">
        <v>79</v>
      </c>
      <c r="B260" s="1" t="s">
        <v>775</v>
      </c>
      <c r="C260" s="1" t="s">
        <v>707</v>
      </c>
      <c r="D260" s="168">
        <v>450</v>
      </c>
      <c r="E260" s="201" t="s">
        <v>710</v>
      </c>
    </row>
    <row r="261" spans="1:5" ht="12.75">
      <c r="A261" s="1">
        <v>80</v>
      </c>
      <c r="B261" s="1" t="s">
        <v>776</v>
      </c>
      <c r="C261" s="1" t="s">
        <v>705</v>
      </c>
      <c r="D261" s="168">
        <v>980</v>
      </c>
      <c r="E261" s="205" t="s">
        <v>718</v>
      </c>
    </row>
    <row r="262" spans="1:5" ht="12.75">
      <c r="A262" s="1">
        <v>81</v>
      </c>
      <c r="B262" s="1" t="s">
        <v>776</v>
      </c>
      <c r="C262" s="1" t="s">
        <v>705</v>
      </c>
      <c r="D262" s="168">
        <v>980</v>
      </c>
      <c r="E262" s="201" t="s">
        <v>706</v>
      </c>
    </row>
    <row r="263" spans="1:5" ht="12.75">
      <c r="A263" s="1">
        <v>82</v>
      </c>
      <c r="B263" s="1" t="s">
        <v>776</v>
      </c>
      <c r="C263" s="1" t="s">
        <v>573</v>
      </c>
      <c r="D263" s="168">
        <v>43518</v>
      </c>
      <c r="E263" s="201" t="s">
        <v>706</v>
      </c>
    </row>
    <row r="264" spans="1:5" ht="12.75">
      <c r="A264" s="1">
        <v>83</v>
      </c>
      <c r="B264" s="1" t="s">
        <v>544</v>
      </c>
      <c r="C264" s="1" t="s">
        <v>777</v>
      </c>
      <c r="D264" s="168">
        <v>459115.27</v>
      </c>
      <c r="E264" s="205" t="s">
        <v>778</v>
      </c>
    </row>
    <row r="265" spans="1:5" ht="12.75">
      <c r="A265" s="1">
        <v>84</v>
      </c>
      <c r="B265" s="1" t="s">
        <v>544</v>
      </c>
      <c r="C265" s="1" t="s">
        <v>777</v>
      </c>
      <c r="D265" s="168">
        <v>1455.73</v>
      </c>
      <c r="E265" s="205" t="s">
        <v>778</v>
      </c>
    </row>
    <row r="266" spans="1:5" ht="12.75">
      <c r="A266" s="1">
        <v>85</v>
      </c>
      <c r="B266" s="1" t="s">
        <v>548</v>
      </c>
      <c r="C266" s="1" t="s">
        <v>705</v>
      </c>
      <c r="D266" s="168">
        <v>980</v>
      </c>
      <c r="E266" s="201" t="s">
        <v>710</v>
      </c>
    </row>
    <row r="267" spans="1:5" ht="12.75">
      <c r="A267" s="1">
        <v>86</v>
      </c>
      <c r="B267" s="1" t="s">
        <v>673</v>
      </c>
      <c r="C267" s="1" t="s">
        <v>573</v>
      </c>
      <c r="D267" s="168">
        <v>43518</v>
      </c>
      <c r="E267" s="201" t="s">
        <v>759</v>
      </c>
    </row>
    <row r="268" spans="1:5" ht="12.75">
      <c r="A268" s="1">
        <v>87</v>
      </c>
      <c r="B268" s="1" t="s">
        <v>673</v>
      </c>
      <c r="C268" s="1" t="s">
        <v>515</v>
      </c>
      <c r="D268" s="168">
        <v>1628.98</v>
      </c>
      <c r="E268" s="201" t="s">
        <v>779</v>
      </c>
    </row>
    <row r="269" spans="1:5" ht="12.75">
      <c r="A269" s="1">
        <v>88</v>
      </c>
      <c r="B269" s="1" t="s">
        <v>780</v>
      </c>
      <c r="C269" s="1" t="s">
        <v>705</v>
      </c>
      <c r="D269" s="168">
        <v>450</v>
      </c>
      <c r="E269" s="205" t="s">
        <v>718</v>
      </c>
    </row>
    <row r="270" spans="1:5" ht="12.75">
      <c r="A270" s="1">
        <v>89</v>
      </c>
      <c r="B270" s="1" t="s">
        <v>551</v>
      </c>
      <c r="C270" s="1" t="s">
        <v>705</v>
      </c>
      <c r="D270" s="168">
        <v>980</v>
      </c>
      <c r="E270" s="201" t="s">
        <v>706</v>
      </c>
    </row>
    <row r="271" spans="1:5" ht="12.75">
      <c r="A271" s="1">
        <v>90</v>
      </c>
      <c r="B271" s="1" t="s">
        <v>552</v>
      </c>
      <c r="C271" s="1" t="s">
        <v>705</v>
      </c>
      <c r="D271" s="168">
        <v>980</v>
      </c>
      <c r="E271" s="205" t="s">
        <v>718</v>
      </c>
    </row>
    <row r="272" spans="1:5" ht="12.75">
      <c r="A272" s="1">
        <v>91</v>
      </c>
      <c r="B272" s="1" t="s">
        <v>552</v>
      </c>
      <c r="C272" s="1" t="s">
        <v>573</v>
      </c>
      <c r="D272" s="168">
        <v>39378</v>
      </c>
      <c r="E272" s="201" t="s">
        <v>706</v>
      </c>
    </row>
    <row r="273" spans="1:5" ht="12.75">
      <c r="A273" s="1">
        <v>92</v>
      </c>
      <c r="B273" s="1" t="s">
        <v>781</v>
      </c>
      <c r="C273" s="1" t="s">
        <v>782</v>
      </c>
      <c r="D273" s="168">
        <v>179547.98</v>
      </c>
      <c r="E273" s="205" t="s">
        <v>783</v>
      </c>
    </row>
    <row r="274" spans="1:5" ht="12.75">
      <c r="A274" s="1">
        <v>93</v>
      </c>
      <c r="B274" s="1" t="s">
        <v>781</v>
      </c>
      <c r="C274" s="1" t="s">
        <v>573</v>
      </c>
      <c r="D274" s="168">
        <v>20469</v>
      </c>
      <c r="E274" s="201" t="s">
        <v>719</v>
      </c>
    </row>
    <row r="275" spans="1:5" ht="12.75">
      <c r="A275" s="1">
        <v>94</v>
      </c>
      <c r="B275" s="1" t="s">
        <v>784</v>
      </c>
      <c r="C275" s="1" t="s">
        <v>510</v>
      </c>
      <c r="D275" s="168">
        <v>38822.22</v>
      </c>
      <c r="E275" s="201" t="s">
        <v>770</v>
      </c>
    </row>
    <row r="276" spans="1:5" ht="12.75">
      <c r="A276" s="1">
        <v>95</v>
      </c>
      <c r="B276" s="1" t="s">
        <v>784</v>
      </c>
      <c r="C276" s="1" t="s">
        <v>510</v>
      </c>
      <c r="D276" s="168">
        <v>14949.41</v>
      </c>
      <c r="E276" s="201" t="s">
        <v>770</v>
      </c>
    </row>
    <row r="277" spans="1:5" ht="12.75">
      <c r="A277" s="1">
        <v>96</v>
      </c>
      <c r="B277" s="1" t="s">
        <v>681</v>
      </c>
      <c r="C277" s="1" t="s">
        <v>573</v>
      </c>
      <c r="D277" s="168">
        <v>17398.04</v>
      </c>
      <c r="E277" s="201" t="s">
        <v>759</v>
      </c>
    </row>
    <row r="278" spans="1:5" ht="12.75">
      <c r="A278" s="1">
        <v>97</v>
      </c>
      <c r="B278" s="1" t="s">
        <v>785</v>
      </c>
      <c r="C278" s="1" t="s">
        <v>573</v>
      </c>
      <c r="D278" s="168">
        <v>2828.98</v>
      </c>
      <c r="E278" s="201" t="s">
        <v>759</v>
      </c>
    </row>
    <row r="279" spans="1:5" ht="12.75">
      <c r="A279" s="1">
        <v>98</v>
      </c>
      <c r="B279" s="1" t="s">
        <v>786</v>
      </c>
      <c r="C279" s="1" t="s">
        <v>573</v>
      </c>
      <c r="D279" s="168">
        <v>10230.49</v>
      </c>
      <c r="E279" s="201" t="s">
        <v>787</v>
      </c>
    </row>
    <row r="280" spans="1:5" ht="12.75">
      <c r="A280" s="1">
        <v>99</v>
      </c>
      <c r="B280" s="1" t="s">
        <v>786</v>
      </c>
      <c r="C280" s="1" t="s">
        <v>573</v>
      </c>
      <c r="D280" s="168">
        <v>7455.1</v>
      </c>
      <c r="E280" s="201" t="s">
        <v>787</v>
      </c>
    </row>
    <row r="281" spans="1:5" ht="12.75">
      <c r="A281" s="1">
        <v>100</v>
      </c>
      <c r="B281" s="1" t="s">
        <v>786</v>
      </c>
      <c r="C281" s="1" t="s">
        <v>573</v>
      </c>
      <c r="D281" s="168">
        <v>13665.41</v>
      </c>
      <c r="E281" s="201" t="s">
        <v>787</v>
      </c>
    </row>
    <row r="282" spans="1:5" ht="12.75">
      <c r="A282" s="1">
        <v>101</v>
      </c>
      <c r="B282" s="1" t="s">
        <v>788</v>
      </c>
      <c r="C282" s="1" t="s">
        <v>573</v>
      </c>
      <c r="D282" s="168">
        <v>19720.84</v>
      </c>
      <c r="E282" s="201" t="s">
        <v>787</v>
      </c>
    </row>
    <row r="283" spans="1:5" ht="12.75">
      <c r="A283" s="1">
        <v>102</v>
      </c>
      <c r="B283" s="1" t="s">
        <v>788</v>
      </c>
      <c r="C283" s="1" t="s">
        <v>573</v>
      </c>
      <c r="D283" s="168">
        <v>9248.16</v>
      </c>
      <c r="E283" s="201" t="s">
        <v>787</v>
      </c>
    </row>
    <row r="284" spans="1:5" ht="12.75">
      <c r="A284" s="1">
        <v>103</v>
      </c>
      <c r="B284" s="1" t="s">
        <v>789</v>
      </c>
      <c r="C284" s="1" t="s">
        <v>705</v>
      </c>
      <c r="D284" s="168">
        <v>980</v>
      </c>
      <c r="E284" s="201" t="s">
        <v>706</v>
      </c>
    </row>
    <row r="285" spans="1:5" ht="12.75">
      <c r="A285" s="1">
        <v>104</v>
      </c>
      <c r="B285" s="1" t="s">
        <v>558</v>
      </c>
      <c r="C285" s="1" t="s">
        <v>705</v>
      </c>
      <c r="D285" s="168">
        <v>980</v>
      </c>
      <c r="E285" s="201" t="s">
        <v>706</v>
      </c>
    </row>
    <row r="286" spans="1:5" ht="12.75">
      <c r="A286" s="1">
        <v>105</v>
      </c>
      <c r="B286" s="1" t="s">
        <v>790</v>
      </c>
      <c r="C286" s="1" t="s">
        <v>573</v>
      </c>
      <c r="D286" s="168">
        <v>16969</v>
      </c>
      <c r="E286" s="201" t="s">
        <v>743</v>
      </c>
    </row>
    <row r="287" spans="1:5" ht="12.75">
      <c r="A287" s="1">
        <v>106</v>
      </c>
      <c r="B287" s="1" t="s">
        <v>791</v>
      </c>
      <c r="C287" s="1" t="s">
        <v>515</v>
      </c>
      <c r="D287" s="168">
        <v>1392.32</v>
      </c>
      <c r="E287" s="201" t="s">
        <v>792</v>
      </c>
    </row>
    <row r="288" spans="1:5" ht="12.75">
      <c r="A288" s="1">
        <v>107</v>
      </c>
      <c r="B288" s="1" t="s">
        <v>793</v>
      </c>
      <c r="C288" s="1" t="s">
        <v>573</v>
      </c>
      <c r="D288" s="168">
        <v>22603.33</v>
      </c>
      <c r="E288" s="201" t="s">
        <v>787</v>
      </c>
    </row>
    <row r="289" spans="1:5" ht="12.75">
      <c r="A289" s="1">
        <v>108</v>
      </c>
      <c r="B289" s="1" t="s">
        <v>793</v>
      </c>
      <c r="C289" s="1" t="s">
        <v>573</v>
      </c>
      <c r="D289" s="168">
        <v>13504.89</v>
      </c>
      <c r="E289" s="201" t="s">
        <v>787</v>
      </c>
    </row>
    <row r="290" spans="1:5" ht="12.75">
      <c r="A290" s="1">
        <v>110</v>
      </c>
      <c r="B290" s="1" t="s">
        <v>794</v>
      </c>
      <c r="C290" s="1" t="s">
        <v>573</v>
      </c>
      <c r="D290" s="168">
        <v>7256.66</v>
      </c>
      <c r="E290" s="201" t="s">
        <v>795</v>
      </c>
    </row>
    <row r="291" spans="1:5" ht="12.75">
      <c r="A291" s="1">
        <v>111</v>
      </c>
      <c r="B291" s="1" t="s">
        <v>794</v>
      </c>
      <c r="C291" s="1" t="s">
        <v>573</v>
      </c>
      <c r="D291" s="168">
        <v>24094.34</v>
      </c>
      <c r="E291" s="201" t="s">
        <v>795</v>
      </c>
    </row>
    <row r="292" spans="1:5" ht="12.75">
      <c r="A292" s="1">
        <v>112</v>
      </c>
      <c r="B292" s="1" t="s">
        <v>560</v>
      </c>
      <c r="C292" s="1" t="s">
        <v>705</v>
      </c>
      <c r="D292" s="168">
        <v>980</v>
      </c>
      <c r="E292" s="201" t="s">
        <v>741</v>
      </c>
    </row>
    <row r="293" spans="1:5" ht="12.75">
      <c r="A293" s="1">
        <v>113</v>
      </c>
      <c r="B293" s="1" t="s">
        <v>562</v>
      </c>
      <c r="C293" s="1" t="s">
        <v>705</v>
      </c>
      <c r="D293" s="168">
        <v>980</v>
      </c>
      <c r="E293" s="201" t="s">
        <v>741</v>
      </c>
    </row>
    <row r="294" spans="1:5" ht="12.75">
      <c r="A294" s="1">
        <v>114</v>
      </c>
      <c r="B294" s="1" t="s">
        <v>562</v>
      </c>
      <c r="C294" s="1" t="s">
        <v>705</v>
      </c>
      <c r="D294" s="168">
        <v>980</v>
      </c>
      <c r="E294" s="205" t="s">
        <v>718</v>
      </c>
    </row>
    <row r="295" spans="1:5" ht="12.75">
      <c r="A295" s="1">
        <v>115</v>
      </c>
      <c r="B295" s="1" t="s">
        <v>796</v>
      </c>
      <c r="C295" s="1" t="s">
        <v>705</v>
      </c>
      <c r="D295" s="168">
        <v>980</v>
      </c>
      <c r="E295" s="201" t="s">
        <v>741</v>
      </c>
    </row>
    <row r="296" spans="1:5" ht="12.75">
      <c r="A296" s="1">
        <v>116</v>
      </c>
      <c r="B296" s="1" t="s">
        <v>797</v>
      </c>
      <c r="C296" s="1" t="s">
        <v>573</v>
      </c>
      <c r="D296" s="168">
        <v>71958</v>
      </c>
      <c r="E296" s="201" t="s">
        <v>795</v>
      </c>
    </row>
    <row r="297" spans="1:5" ht="12.75">
      <c r="A297" s="1">
        <v>117</v>
      </c>
      <c r="B297" s="1" t="s">
        <v>798</v>
      </c>
      <c r="C297" s="1" t="s">
        <v>573</v>
      </c>
      <c r="D297" s="168">
        <v>52198.94</v>
      </c>
      <c r="E297" s="201" t="s">
        <v>795</v>
      </c>
    </row>
    <row r="298" spans="1:5" ht="12.75">
      <c r="A298" s="1"/>
      <c r="B298" s="1"/>
      <c r="C298" s="1"/>
      <c r="D298" s="9">
        <f>SUM(D187:D297)</f>
        <v>2190235.9499999997</v>
      </c>
      <c r="E298" s="1"/>
    </row>
    <row r="299" ht="12.75">
      <c r="D299" s="202"/>
    </row>
    <row r="300" spans="1:5" ht="18">
      <c r="A300" s="226" t="s">
        <v>799</v>
      </c>
      <c r="B300" s="226"/>
      <c r="C300" s="226"/>
      <c r="D300" s="226"/>
      <c r="E300" s="226"/>
    </row>
    <row r="301" spans="1:5" ht="15">
      <c r="A301" s="203"/>
      <c r="B301" s="204"/>
      <c r="C301" s="204"/>
      <c r="D301" s="198"/>
      <c r="E301" s="204"/>
    </row>
    <row r="302" spans="1:5" ht="12.75">
      <c r="A302" s="41" t="s">
        <v>482</v>
      </c>
      <c r="B302" s="41" t="s">
        <v>370</v>
      </c>
      <c r="C302" s="41" t="s">
        <v>483</v>
      </c>
      <c r="D302" s="199" t="s">
        <v>484</v>
      </c>
      <c r="E302" s="41" t="s">
        <v>485</v>
      </c>
    </row>
    <row r="303" spans="1:5" ht="12.75">
      <c r="A303" s="43"/>
      <c r="B303" s="43"/>
      <c r="C303" s="43"/>
      <c r="D303" s="200"/>
      <c r="E303" s="43"/>
    </row>
    <row r="304" spans="1:5" ht="12.75">
      <c r="A304" s="43">
        <v>1</v>
      </c>
      <c r="B304" s="43" t="s">
        <v>572</v>
      </c>
      <c r="C304" s="43" t="s">
        <v>510</v>
      </c>
      <c r="D304" s="200">
        <v>81591.59</v>
      </c>
      <c r="E304" s="43" t="s">
        <v>800</v>
      </c>
    </row>
    <row r="305" spans="1:5" ht="12.75">
      <c r="A305" s="43">
        <v>2</v>
      </c>
      <c r="B305" s="43" t="s">
        <v>704</v>
      </c>
      <c r="C305" s="43" t="s">
        <v>510</v>
      </c>
      <c r="D305" s="200">
        <v>156144.91</v>
      </c>
      <c r="E305" s="208" t="s">
        <v>801</v>
      </c>
    </row>
    <row r="306" spans="1:5" ht="12.75">
      <c r="A306" s="43">
        <v>3</v>
      </c>
      <c r="B306" s="43" t="s">
        <v>709</v>
      </c>
      <c r="C306" s="43" t="s">
        <v>573</v>
      </c>
      <c r="D306" s="200">
        <v>68367</v>
      </c>
      <c r="E306" s="208" t="s">
        <v>802</v>
      </c>
    </row>
    <row r="307" spans="1:5" ht="12.75">
      <c r="A307" s="43">
        <v>4</v>
      </c>
      <c r="B307" s="1" t="s">
        <v>803</v>
      </c>
      <c r="C307" s="1" t="s">
        <v>573</v>
      </c>
      <c r="D307" s="168">
        <v>44923</v>
      </c>
      <c r="E307" s="201" t="s">
        <v>802</v>
      </c>
    </row>
    <row r="308" spans="1:5" ht="12.75">
      <c r="A308" s="43">
        <v>5</v>
      </c>
      <c r="B308" s="1" t="s">
        <v>804</v>
      </c>
      <c r="C308" s="1" t="s">
        <v>573</v>
      </c>
      <c r="D308" s="168">
        <v>44923</v>
      </c>
      <c r="E308" s="201" t="s">
        <v>802</v>
      </c>
    </row>
    <row r="309" spans="1:5" ht="12.75">
      <c r="A309" s="43">
        <v>6</v>
      </c>
      <c r="B309" s="1" t="s">
        <v>489</v>
      </c>
      <c r="C309" s="1" t="s">
        <v>573</v>
      </c>
      <c r="D309" s="168">
        <v>45441</v>
      </c>
      <c r="E309" s="201" t="s">
        <v>802</v>
      </c>
    </row>
    <row r="310" spans="1:5" ht="12.75">
      <c r="A310" s="43">
        <v>7</v>
      </c>
      <c r="B310" s="1" t="s">
        <v>492</v>
      </c>
      <c r="C310" s="1" t="s">
        <v>573</v>
      </c>
      <c r="D310" s="168">
        <f>14392.96+25574.04</f>
        <v>39967</v>
      </c>
      <c r="E310" s="201" t="s">
        <v>802</v>
      </c>
    </row>
    <row r="311" spans="1:5" ht="12.75">
      <c r="A311" s="43">
        <v>8</v>
      </c>
      <c r="B311" s="1" t="s">
        <v>805</v>
      </c>
      <c r="C311" s="1" t="s">
        <v>510</v>
      </c>
      <c r="D311" s="168">
        <v>13150.28</v>
      </c>
      <c r="E311" s="201" t="s">
        <v>806</v>
      </c>
    </row>
    <row r="312" spans="1:5" ht="12.75">
      <c r="A312" s="43">
        <v>9</v>
      </c>
      <c r="B312" s="1" t="s">
        <v>807</v>
      </c>
      <c r="C312" s="1" t="s">
        <v>808</v>
      </c>
      <c r="D312" s="168">
        <f>272*880</f>
        <v>239360</v>
      </c>
      <c r="E312" s="201" t="s">
        <v>809</v>
      </c>
    </row>
    <row r="313" spans="1:5" ht="12.75">
      <c r="A313" s="43">
        <v>10</v>
      </c>
      <c r="B313" s="1" t="s">
        <v>504</v>
      </c>
      <c r="C313" s="1" t="s">
        <v>510</v>
      </c>
      <c r="D313" s="168">
        <v>18202.23</v>
      </c>
      <c r="E313" s="201" t="s">
        <v>810</v>
      </c>
    </row>
    <row r="314" spans="1:5" ht="12.75">
      <c r="A314" s="43">
        <v>11</v>
      </c>
      <c r="B314" s="1" t="s">
        <v>504</v>
      </c>
      <c r="C314" s="1" t="s">
        <v>510</v>
      </c>
      <c r="D314" s="168">
        <f>35117.91-D313</f>
        <v>16915.680000000004</v>
      </c>
      <c r="E314" s="201" t="s">
        <v>810</v>
      </c>
    </row>
    <row r="315" spans="1:5" ht="12.75">
      <c r="A315" s="43">
        <v>12</v>
      </c>
      <c r="B315" s="1" t="s">
        <v>724</v>
      </c>
      <c r="C315" s="1" t="s">
        <v>510</v>
      </c>
      <c r="D315" s="168">
        <v>40488.76</v>
      </c>
      <c r="E315" s="1" t="s">
        <v>811</v>
      </c>
    </row>
    <row r="316" spans="1:5" ht="12.75">
      <c r="A316" s="43">
        <v>13</v>
      </c>
      <c r="B316" s="1" t="s">
        <v>812</v>
      </c>
      <c r="C316" s="1" t="s">
        <v>510</v>
      </c>
      <c r="D316" s="168">
        <v>65609.32</v>
      </c>
      <c r="E316" s="1" t="s">
        <v>813</v>
      </c>
    </row>
    <row r="317" spans="1:5" ht="12.75">
      <c r="A317" s="43">
        <v>14</v>
      </c>
      <c r="B317" s="1" t="s">
        <v>812</v>
      </c>
      <c r="C317" s="1" t="s">
        <v>814</v>
      </c>
      <c r="D317" s="168">
        <f>(147425.53+13444.09+26130.38)</f>
        <v>187000</v>
      </c>
      <c r="E317" s="201">
        <v>43322</v>
      </c>
    </row>
    <row r="318" spans="1:5" ht="12.75">
      <c r="A318" s="43">
        <v>15</v>
      </c>
      <c r="B318" s="1" t="s">
        <v>732</v>
      </c>
      <c r="C318" s="1" t="s">
        <v>573</v>
      </c>
      <c r="D318" s="168">
        <f>9750.74+33086.26</f>
        <v>42837</v>
      </c>
      <c r="E318" s="201" t="s">
        <v>802</v>
      </c>
    </row>
    <row r="319" spans="1:5" ht="12.75">
      <c r="A319" s="43">
        <v>16</v>
      </c>
      <c r="B319" s="1" t="s">
        <v>518</v>
      </c>
      <c r="C319" s="1" t="s">
        <v>815</v>
      </c>
      <c r="D319" s="168">
        <v>29818.51</v>
      </c>
      <c r="E319" s="201" t="s">
        <v>816</v>
      </c>
    </row>
    <row r="320" spans="1:5" ht="12.75">
      <c r="A320" s="43">
        <v>17</v>
      </c>
      <c r="B320" s="1" t="s">
        <v>521</v>
      </c>
      <c r="C320" s="1" t="s">
        <v>510</v>
      </c>
      <c r="D320" s="168">
        <v>181186.85</v>
      </c>
      <c r="E320" s="201" t="s">
        <v>817</v>
      </c>
    </row>
    <row r="321" spans="1:5" ht="12.75">
      <c r="A321" s="43">
        <v>18</v>
      </c>
      <c r="B321" s="1" t="s">
        <v>521</v>
      </c>
      <c r="C321" s="1" t="s">
        <v>573</v>
      </c>
      <c r="D321" s="168">
        <v>58287</v>
      </c>
      <c r="E321" s="201" t="s">
        <v>802</v>
      </c>
    </row>
    <row r="322" spans="1:5" ht="12.75">
      <c r="A322" s="43">
        <v>19</v>
      </c>
      <c r="B322" s="1" t="s">
        <v>818</v>
      </c>
      <c r="C322" s="1" t="s">
        <v>573</v>
      </c>
      <c r="D322" s="168">
        <f>34304.83+4868.17</f>
        <v>39173</v>
      </c>
      <c r="E322" s="201" t="s">
        <v>802</v>
      </c>
    </row>
    <row r="323" spans="1:5" ht="12.75">
      <c r="A323" s="43">
        <v>20</v>
      </c>
      <c r="B323" s="1" t="s">
        <v>522</v>
      </c>
      <c r="C323" s="1" t="s">
        <v>819</v>
      </c>
      <c r="D323" s="168">
        <v>25000</v>
      </c>
      <c r="E323" s="201" t="s">
        <v>820</v>
      </c>
    </row>
    <row r="324" spans="1:5" ht="12.75">
      <c r="A324" s="43">
        <v>21</v>
      </c>
      <c r="B324" s="1" t="s">
        <v>522</v>
      </c>
      <c r="C324" s="1" t="s">
        <v>821</v>
      </c>
      <c r="D324" s="168">
        <v>6000</v>
      </c>
      <c r="E324" s="201" t="s">
        <v>822</v>
      </c>
    </row>
    <row r="325" spans="1:5" ht="12.75">
      <c r="A325" s="43">
        <v>22</v>
      </c>
      <c r="B325" s="1" t="s">
        <v>823</v>
      </c>
      <c r="C325" s="1" t="s">
        <v>515</v>
      </c>
      <c r="D325" s="168">
        <v>2989.15</v>
      </c>
      <c r="E325" s="201" t="s">
        <v>824</v>
      </c>
    </row>
    <row r="326" spans="1:5" ht="12.75">
      <c r="A326" s="43">
        <v>23</v>
      </c>
      <c r="B326" s="1" t="s">
        <v>823</v>
      </c>
      <c r="C326" s="1" t="s">
        <v>515</v>
      </c>
      <c r="D326" s="168">
        <v>6310.7</v>
      </c>
      <c r="E326" s="201" t="s">
        <v>825</v>
      </c>
    </row>
    <row r="327" spans="1:5" ht="12.75">
      <c r="A327" s="43">
        <v>24</v>
      </c>
      <c r="B327" s="1" t="s">
        <v>826</v>
      </c>
      <c r="C327" s="1" t="s">
        <v>573</v>
      </c>
      <c r="D327" s="168">
        <f>24418+5507</f>
        <v>29925</v>
      </c>
      <c r="E327" s="201" t="s">
        <v>802</v>
      </c>
    </row>
    <row r="328" spans="1:5" ht="12.75">
      <c r="A328" s="43">
        <v>25</v>
      </c>
      <c r="B328" s="1" t="s">
        <v>827</v>
      </c>
      <c r="C328" s="1" t="s">
        <v>510</v>
      </c>
      <c r="D328" s="168">
        <v>6982.72</v>
      </c>
      <c r="E328" s="201" t="s">
        <v>828</v>
      </c>
    </row>
    <row r="329" spans="1:5" ht="12.75">
      <c r="A329" s="43">
        <v>26</v>
      </c>
      <c r="B329" s="1" t="s">
        <v>827</v>
      </c>
      <c r="C329" s="1" t="s">
        <v>510</v>
      </c>
      <c r="D329" s="168">
        <v>1654</v>
      </c>
      <c r="E329" s="201" t="s">
        <v>828</v>
      </c>
    </row>
    <row r="330" spans="1:5" ht="12.75">
      <c r="A330" s="43">
        <v>27</v>
      </c>
      <c r="B330" s="1" t="s">
        <v>740</v>
      </c>
      <c r="C330" s="1" t="s">
        <v>829</v>
      </c>
      <c r="D330" s="168">
        <v>1455.95</v>
      </c>
      <c r="E330" s="201" t="s">
        <v>830</v>
      </c>
    </row>
    <row r="331" spans="1:5" ht="12.75">
      <c r="A331" s="43">
        <v>28</v>
      </c>
      <c r="B331" s="1" t="s">
        <v>618</v>
      </c>
      <c r="C331" s="1" t="s">
        <v>831</v>
      </c>
      <c r="D331" s="168">
        <v>55327.52</v>
      </c>
      <c r="E331" s="201" t="s">
        <v>832</v>
      </c>
    </row>
    <row r="332" spans="1:5" ht="12.75">
      <c r="A332" s="43">
        <v>29</v>
      </c>
      <c r="B332" s="1" t="s">
        <v>618</v>
      </c>
      <c r="C332" s="1" t="s">
        <v>833</v>
      </c>
      <c r="D332" s="168">
        <v>253250</v>
      </c>
      <c r="E332" s="201" t="s">
        <v>834</v>
      </c>
    </row>
    <row r="333" spans="1:5" ht="12.75">
      <c r="A333" s="43">
        <v>30</v>
      </c>
      <c r="B333" s="1" t="s">
        <v>529</v>
      </c>
      <c r="C333" s="1" t="s">
        <v>510</v>
      </c>
      <c r="D333" s="168">
        <f>35001.28+89576.98</f>
        <v>124578.26</v>
      </c>
      <c r="E333" s="201" t="s">
        <v>835</v>
      </c>
    </row>
    <row r="334" spans="1:5" ht="12.75">
      <c r="A334" s="43">
        <v>31</v>
      </c>
      <c r="B334" s="1" t="s">
        <v>836</v>
      </c>
      <c r="C334" s="1" t="s">
        <v>573</v>
      </c>
      <c r="D334" s="168">
        <v>44233</v>
      </c>
      <c r="E334" s="201" t="s">
        <v>802</v>
      </c>
    </row>
    <row r="335" spans="1:5" ht="12.75">
      <c r="A335" s="43">
        <v>32</v>
      </c>
      <c r="B335" s="1" t="s">
        <v>837</v>
      </c>
      <c r="C335" s="1" t="s">
        <v>510</v>
      </c>
      <c r="D335" s="168">
        <v>10468.39</v>
      </c>
      <c r="E335" s="201" t="s">
        <v>838</v>
      </c>
    </row>
    <row r="336" spans="1:5" ht="12.75">
      <c r="A336" s="43">
        <v>33</v>
      </c>
      <c r="B336" s="1" t="s">
        <v>623</v>
      </c>
      <c r="C336" s="1" t="s">
        <v>839</v>
      </c>
      <c r="D336" s="168">
        <v>21500</v>
      </c>
      <c r="E336" s="201" t="s">
        <v>840</v>
      </c>
    </row>
    <row r="337" spans="1:5" ht="12.75">
      <c r="A337" s="43">
        <v>34</v>
      </c>
      <c r="B337" s="1" t="s">
        <v>841</v>
      </c>
      <c r="C337" s="1" t="s">
        <v>510</v>
      </c>
      <c r="D337" s="168">
        <f>92691.51+43484.33</f>
        <v>136175.84</v>
      </c>
      <c r="E337" s="201" t="s">
        <v>842</v>
      </c>
    </row>
    <row r="338" spans="1:5" ht="12.75">
      <c r="A338" s="43">
        <v>35</v>
      </c>
      <c r="B338" s="1" t="s">
        <v>841</v>
      </c>
      <c r="C338" s="1" t="s">
        <v>815</v>
      </c>
      <c r="D338" s="168">
        <v>54000</v>
      </c>
      <c r="E338" s="201" t="s">
        <v>816</v>
      </c>
    </row>
    <row r="339" spans="1:5" ht="12.75">
      <c r="A339" s="43">
        <v>36</v>
      </c>
      <c r="B339" s="1" t="s">
        <v>531</v>
      </c>
      <c r="C339" s="1" t="s">
        <v>510</v>
      </c>
      <c r="D339" s="168">
        <f>7105.69+74666.5</f>
        <v>81772.19</v>
      </c>
      <c r="E339" s="201" t="s">
        <v>843</v>
      </c>
    </row>
    <row r="340" spans="1:5" ht="12.75">
      <c r="A340" s="43">
        <v>37</v>
      </c>
      <c r="B340" s="1" t="s">
        <v>532</v>
      </c>
      <c r="C340" s="1" t="s">
        <v>844</v>
      </c>
      <c r="D340" s="168">
        <v>26100</v>
      </c>
      <c r="E340" s="201" t="s">
        <v>845</v>
      </c>
    </row>
    <row r="341" spans="1:5" ht="12.75">
      <c r="A341" s="43">
        <v>38</v>
      </c>
      <c r="B341" s="1" t="s">
        <v>846</v>
      </c>
      <c r="C341" s="1" t="s">
        <v>510</v>
      </c>
      <c r="D341" s="168">
        <v>98148.39</v>
      </c>
      <c r="E341" s="201" t="s">
        <v>847</v>
      </c>
    </row>
    <row r="342" spans="1:5" ht="12.75">
      <c r="A342" s="43">
        <v>39</v>
      </c>
      <c r="B342" s="1" t="s">
        <v>848</v>
      </c>
      <c r="C342" s="1" t="s">
        <v>510</v>
      </c>
      <c r="D342" s="168">
        <v>7742.37</v>
      </c>
      <c r="E342" s="201" t="s">
        <v>849</v>
      </c>
    </row>
    <row r="343" spans="1:5" ht="12.75">
      <c r="A343" s="43">
        <v>40</v>
      </c>
      <c r="B343" s="1" t="s">
        <v>850</v>
      </c>
      <c r="C343" s="1" t="s">
        <v>851</v>
      </c>
      <c r="D343" s="168">
        <v>55540.91</v>
      </c>
      <c r="E343" s="201" t="s">
        <v>852</v>
      </c>
    </row>
    <row r="344" spans="1:5" ht="12.75">
      <c r="A344" s="43">
        <v>41</v>
      </c>
      <c r="B344" s="1" t="s">
        <v>853</v>
      </c>
      <c r="C344" s="1" t="s">
        <v>728</v>
      </c>
      <c r="D344" s="168">
        <v>901</v>
      </c>
      <c r="E344" s="201" t="s">
        <v>854</v>
      </c>
    </row>
    <row r="345" spans="1:5" ht="12.75">
      <c r="A345" s="43">
        <v>42</v>
      </c>
      <c r="B345" s="1" t="s">
        <v>632</v>
      </c>
      <c r="C345" s="1" t="s">
        <v>510</v>
      </c>
      <c r="D345" s="168">
        <v>19036.57</v>
      </c>
      <c r="E345" s="201" t="s">
        <v>828</v>
      </c>
    </row>
    <row r="346" spans="1:5" ht="12.75">
      <c r="A346" s="43">
        <v>43</v>
      </c>
      <c r="B346" s="1" t="s">
        <v>632</v>
      </c>
      <c r="C346" s="1" t="s">
        <v>510</v>
      </c>
      <c r="D346" s="168">
        <v>14282.94</v>
      </c>
      <c r="E346" s="201" t="s">
        <v>828</v>
      </c>
    </row>
    <row r="347" spans="1:5" ht="12.75">
      <c r="A347" s="43">
        <v>44</v>
      </c>
      <c r="B347" s="1" t="s">
        <v>632</v>
      </c>
      <c r="C347" s="1" t="s">
        <v>855</v>
      </c>
      <c r="D347" s="168">
        <v>57500</v>
      </c>
      <c r="E347" s="201" t="s">
        <v>856</v>
      </c>
    </row>
    <row r="348" spans="1:5" ht="12.75">
      <c r="A348" s="43">
        <v>45</v>
      </c>
      <c r="B348" s="1" t="s">
        <v>534</v>
      </c>
      <c r="C348" s="1" t="s">
        <v>573</v>
      </c>
      <c r="D348" s="168">
        <v>52716</v>
      </c>
      <c r="E348" s="201" t="s">
        <v>802</v>
      </c>
    </row>
    <row r="349" spans="1:5" ht="12.75">
      <c r="A349" s="43">
        <v>46</v>
      </c>
      <c r="B349" s="1" t="s">
        <v>857</v>
      </c>
      <c r="C349" s="1" t="s">
        <v>705</v>
      </c>
      <c r="D349" s="168">
        <v>980</v>
      </c>
      <c r="E349" s="201" t="s">
        <v>858</v>
      </c>
    </row>
    <row r="350" spans="1:5" ht="12.75">
      <c r="A350" s="43">
        <v>47</v>
      </c>
      <c r="B350" s="1" t="s">
        <v>859</v>
      </c>
      <c r="C350" s="1" t="s">
        <v>515</v>
      </c>
      <c r="D350" s="168">
        <v>2816.34</v>
      </c>
      <c r="E350" s="201" t="s">
        <v>860</v>
      </c>
    </row>
    <row r="351" spans="1:5" ht="12.75">
      <c r="A351" s="43">
        <v>48</v>
      </c>
      <c r="B351" s="1" t="s">
        <v>861</v>
      </c>
      <c r="C351" s="1" t="s">
        <v>705</v>
      </c>
      <c r="D351" s="168">
        <v>980</v>
      </c>
      <c r="E351" s="201" t="s">
        <v>858</v>
      </c>
    </row>
    <row r="352" spans="1:5" ht="12.75">
      <c r="A352" s="43">
        <v>49</v>
      </c>
      <c r="B352" s="1" t="s">
        <v>862</v>
      </c>
      <c r="C352" s="1" t="s">
        <v>705</v>
      </c>
      <c r="D352" s="168">
        <v>980</v>
      </c>
      <c r="E352" s="201" t="s">
        <v>858</v>
      </c>
    </row>
    <row r="353" spans="1:5" ht="12.75">
      <c r="A353" s="43">
        <v>50</v>
      </c>
      <c r="B353" s="1" t="s">
        <v>537</v>
      </c>
      <c r="C353" s="1" t="s">
        <v>510</v>
      </c>
      <c r="D353" s="168">
        <v>12934.77</v>
      </c>
      <c r="E353" s="201" t="s">
        <v>828</v>
      </c>
    </row>
    <row r="354" spans="1:5" ht="12.75">
      <c r="A354" s="43">
        <v>51</v>
      </c>
      <c r="B354" s="1" t="s">
        <v>538</v>
      </c>
      <c r="C354" s="1" t="s">
        <v>510</v>
      </c>
      <c r="D354" s="168">
        <v>85773.9</v>
      </c>
      <c r="E354" s="201" t="s">
        <v>863</v>
      </c>
    </row>
    <row r="355" spans="1:5" ht="12.75">
      <c r="A355" s="43">
        <v>52</v>
      </c>
      <c r="B355" s="1" t="s">
        <v>649</v>
      </c>
      <c r="C355" s="1" t="s">
        <v>705</v>
      </c>
      <c r="D355" s="168">
        <v>980</v>
      </c>
      <c r="E355" s="201" t="s">
        <v>858</v>
      </c>
    </row>
    <row r="356" spans="1:5" ht="12.75">
      <c r="A356" s="43">
        <v>53</v>
      </c>
      <c r="B356" s="1" t="s">
        <v>649</v>
      </c>
      <c r="C356" s="1" t="s">
        <v>864</v>
      </c>
      <c r="D356" s="168">
        <v>15000</v>
      </c>
      <c r="E356" s="201" t="s">
        <v>865</v>
      </c>
    </row>
    <row r="357" spans="1:5" ht="12.75">
      <c r="A357" s="43">
        <v>54</v>
      </c>
      <c r="B357" s="1" t="s">
        <v>866</v>
      </c>
      <c r="C357" s="1" t="s">
        <v>621</v>
      </c>
      <c r="D357" s="168">
        <v>733.41</v>
      </c>
      <c r="E357" s="201" t="s">
        <v>813</v>
      </c>
    </row>
    <row r="358" spans="1:5" ht="12.75">
      <c r="A358" s="43">
        <v>55</v>
      </c>
      <c r="B358" s="1" t="s">
        <v>867</v>
      </c>
      <c r="C358" s="1" t="s">
        <v>831</v>
      </c>
      <c r="D358" s="168">
        <v>64029.24</v>
      </c>
      <c r="E358" s="201" t="s">
        <v>832</v>
      </c>
    </row>
    <row r="359" spans="1:5" ht="12.75">
      <c r="A359" s="43">
        <v>56</v>
      </c>
      <c r="B359" s="1" t="s">
        <v>867</v>
      </c>
      <c r="C359" s="1" t="s">
        <v>831</v>
      </c>
      <c r="D359" s="168">
        <v>169747.51</v>
      </c>
      <c r="E359" s="201" t="s">
        <v>832</v>
      </c>
    </row>
    <row r="360" spans="1:5" ht="12.75">
      <c r="A360" s="43">
        <v>57</v>
      </c>
      <c r="B360" s="1" t="s">
        <v>867</v>
      </c>
      <c r="C360" s="1" t="s">
        <v>831</v>
      </c>
      <c r="D360" s="168">
        <v>26001.38</v>
      </c>
      <c r="E360" s="201" t="s">
        <v>832</v>
      </c>
    </row>
    <row r="361" spans="1:5" ht="12.75">
      <c r="A361" s="43">
        <v>58</v>
      </c>
      <c r="B361" s="1" t="s">
        <v>760</v>
      </c>
      <c r="C361" s="1" t="s">
        <v>868</v>
      </c>
      <c r="D361" s="168">
        <v>1000</v>
      </c>
      <c r="E361" s="201" t="s">
        <v>869</v>
      </c>
    </row>
    <row r="362" spans="1:5" ht="12.75">
      <c r="A362" s="43">
        <v>59</v>
      </c>
      <c r="B362" s="1" t="s">
        <v>765</v>
      </c>
      <c r="C362" s="1" t="s">
        <v>705</v>
      </c>
      <c r="D362" s="168">
        <v>980</v>
      </c>
      <c r="E362" s="201" t="s">
        <v>858</v>
      </c>
    </row>
    <row r="363" spans="1:5" ht="12.75">
      <c r="A363" s="43">
        <v>60</v>
      </c>
      <c r="B363" s="1" t="s">
        <v>870</v>
      </c>
      <c r="C363" s="1" t="s">
        <v>573</v>
      </c>
      <c r="D363" s="168">
        <f>39484.49+7656.51</f>
        <v>47141</v>
      </c>
      <c r="E363" s="201" t="s">
        <v>802</v>
      </c>
    </row>
    <row r="364" spans="1:5" ht="12.75">
      <c r="A364" s="43">
        <v>61</v>
      </c>
      <c r="B364" s="1" t="s">
        <v>871</v>
      </c>
      <c r="C364" s="1" t="s">
        <v>573</v>
      </c>
      <c r="D364" s="168">
        <f>27031.02+16709.98</f>
        <v>43741</v>
      </c>
      <c r="E364" s="201" t="s">
        <v>802</v>
      </c>
    </row>
    <row r="365" spans="1:5" ht="12.75">
      <c r="A365" s="43">
        <v>62</v>
      </c>
      <c r="B365" s="1" t="s">
        <v>872</v>
      </c>
      <c r="C365" s="1" t="s">
        <v>873</v>
      </c>
      <c r="D365" s="168">
        <v>8000</v>
      </c>
      <c r="E365" s="201" t="s">
        <v>874</v>
      </c>
    </row>
    <row r="366" spans="1:5" ht="12.75">
      <c r="A366" s="43">
        <v>63</v>
      </c>
      <c r="B366" s="1" t="s">
        <v>666</v>
      </c>
      <c r="C366" s="1" t="s">
        <v>728</v>
      </c>
      <c r="D366" s="168">
        <v>4253</v>
      </c>
      <c r="E366" s="201" t="s">
        <v>854</v>
      </c>
    </row>
    <row r="367" spans="1:5" ht="12.75">
      <c r="A367" s="43">
        <v>64</v>
      </c>
      <c r="B367" s="1" t="s">
        <v>774</v>
      </c>
      <c r="C367" s="1" t="s">
        <v>573</v>
      </c>
      <c r="D367" s="168">
        <v>45638</v>
      </c>
      <c r="E367" s="201" t="s">
        <v>802</v>
      </c>
    </row>
    <row r="368" spans="1:5" ht="12.75">
      <c r="A368" s="43">
        <v>65</v>
      </c>
      <c r="B368" s="1" t="s">
        <v>669</v>
      </c>
      <c r="C368" s="1" t="s">
        <v>573</v>
      </c>
      <c r="D368" s="168">
        <v>61332</v>
      </c>
      <c r="E368" s="201" t="s">
        <v>802</v>
      </c>
    </row>
    <row r="369" spans="1:5" ht="12.75">
      <c r="A369" s="43">
        <v>66</v>
      </c>
      <c r="B369" s="1" t="s">
        <v>775</v>
      </c>
      <c r="C369" s="1" t="s">
        <v>573</v>
      </c>
      <c r="D369" s="168">
        <v>45856</v>
      </c>
      <c r="E369" s="201" t="s">
        <v>802</v>
      </c>
    </row>
    <row r="370" spans="1:5" ht="12.75">
      <c r="A370" s="43">
        <v>67</v>
      </c>
      <c r="B370" s="1" t="s">
        <v>776</v>
      </c>
      <c r="C370" s="1" t="s">
        <v>573</v>
      </c>
      <c r="D370" s="168">
        <v>17580</v>
      </c>
      <c r="E370" s="201" t="s">
        <v>802</v>
      </c>
    </row>
    <row r="371" spans="1:5" ht="12.75">
      <c r="A371" s="43">
        <v>68</v>
      </c>
      <c r="B371" s="1" t="s">
        <v>544</v>
      </c>
      <c r="C371" s="1" t="s">
        <v>875</v>
      </c>
      <c r="D371" s="168">
        <v>72347.27</v>
      </c>
      <c r="E371" s="201" t="s">
        <v>832</v>
      </c>
    </row>
    <row r="372" spans="1:5" ht="12.75">
      <c r="A372" s="43">
        <v>69</v>
      </c>
      <c r="B372" s="1" t="s">
        <v>544</v>
      </c>
      <c r="C372" s="1" t="s">
        <v>875</v>
      </c>
      <c r="D372" s="168">
        <v>33219.65</v>
      </c>
      <c r="E372" s="201" t="s">
        <v>832</v>
      </c>
    </row>
    <row r="373" spans="1:5" ht="12.75">
      <c r="A373" s="43">
        <v>70</v>
      </c>
      <c r="B373" s="1" t="s">
        <v>544</v>
      </c>
      <c r="C373" s="1" t="s">
        <v>573</v>
      </c>
      <c r="D373" s="168">
        <v>60720</v>
      </c>
      <c r="E373" s="201" t="s">
        <v>802</v>
      </c>
    </row>
    <row r="374" spans="1:5" ht="12.75">
      <c r="A374" s="43">
        <v>71</v>
      </c>
      <c r="B374" s="1" t="s">
        <v>876</v>
      </c>
      <c r="C374" s="1" t="s">
        <v>815</v>
      </c>
      <c r="D374" s="168">
        <f>39475.54+8437.99</f>
        <v>47913.53</v>
      </c>
      <c r="E374" s="201" t="s">
        <v>816</v>
      </c>
    </row>
    <row r="375" spans="1:5" ht="12.75">
      <c r="A375" s="43">
        <v>72</v>
      </c>
      <c r="B375" s="1" t="s">
        <v>548</v>
      </c>
      <c r="C375" s="1" t="s">
        <v>815</v>
      </c>
      <c r="D375" s="168">
        <f>16134.39+16830.23</f>
        <v>32964.619999999995</v>
      </c>
      <c r="E375" s="201" t="s">
        <v>816</v>
      </c>
    </row>
    <row r="376" spans="1:5" ht="12.75">
      <c r="A376" s="43">
        <v>73</v>
      </c>
      <c r="B376" s="1" t="s">
        <v>877</v>
      </c>
      <c r="C376" s="1" t="s">
        <v>573</v>
      </c>
      <c r="D376" s="168">
        <v>57453</v>
      </c>
      <c r="E376" s="201" t="s">
        <v>802</v>
      </c>
    </row>
    <row r="377" spans="1:5" ht="12.75">
      <c r="A377" s="43">
        <v>74</v>
      </c>
      <c r="B377" s="1" t="s">
        <v>549</v>
      </c>
      <c r="C377" s="1" t="s">
        <v>815</v>
      </c>
      <c r="D377" s="168">
        <f>10442.31+23174.91</f>
        <v>33617.22</v>
      </c>
      <c r="E377" s="201" t="s">
        <v>816</v>
      </c>
    </row>
    <row r="378" spans="1:5" ht="12.75">
      <c r="A378" s="43">
        <v>75</v>
      </c>
      <c r="B378" s="209" t="s">
        <v>549</v>
      </c>
      <c r="C378" s="1" t="s">
        <v>510</v>
      </c>
      <c r="D378" s="168">
        <v>62289.38</v>
      </c>
      <c r="E378" s="201" t="s">
        <v>878</v>
      </c>
    </row>
    <row r="379" spans="1:5" ht="12.75">
      <c r="A379" s="43">
        <v>76</v>
      </c>
      <c r="B379" s="1" t="s">
        <v>551</v>
      </c>
      <c r="C379" s="1" t="s">
        <v>879</v>
      </c>
      <c r="D379" s="168">
        <f>(120000-98127.06)</f>
        <v>21872.940000000002</v>
      </c>
      <c r="E379" s="201" t="s">
        <v>880</v>
      </c>
    </row>
    <row r="380" spans="1:5" ht="12.75">
      <c r="A380" s="43">
        <v>77</v>
      </c>
      <c r="B380" s="1" t="s">
        <v>676</v>
      </c>
      <c r="C380" s="1" t="s">
        <v>728</v>
      </c>
      <c r="D380" s="168">
        <v>2702</v>
      </c>
      <c r="E380" s="201" t="s">
        <v>854</v>
      </c>
    </row>
    <row r="381" spans="1:5" ht="12.75">
      <c r="A381" s="43">
        <v>78</v>
      </c>
      <c r="B381" s="1" t="s">
        <v>676</v>
      </c>
      <c r="C381" s="1" t="s">
        <v>573</v>
      </c>
      <c r="D381" s="168">
        <v>53081</v>
      </c>
      <c r="E381" s="201" t="s">
        <v>802</v>
      </c>
    </row>
    <row r="382" spans="1:5" ht="12.75">
      <c r="A382" s="43">
        <v>79</v>
      </c>
      <c r="B382" s="1" t="s">
        <v>552</v>
      </c>
      <c r="C382" s="1" t="s">
        <v>573</v>
      </c>
      <c r="D382" s="168">
        <v>31698</v>
      </c>
      <c r="E382" s="201" t="s">
        <v>802</v>
      </c>
    </row>
    <row r="383" spans="1:5" ht="12.75">
      <c r="A383" s="43">
        <v>80</v>
      </c>
      <c r="B383" s="1" t="s">
        <v>881</v>
      </c>
      <c r="C383" s="1" t="s">
        <v>573</v>
      </c>
      <c r="D383" s="168">
        <v>43741</v>
      </c>
      <c r="E383" s="201" t="s">
        <v>802</v>
      </c>
    </row>
    <row r="384" spans="1:5" ht="12.75">
      <c r="A384" s="43">
        <v>81</v>
      </c>
      <c r="B384" s="1" t="s">
        <v>882</v>
      </c>
      <c r="C384" s="1" t="s">
        <v>573</v>
      </c>
      <c r="D384" s="168">
        <f>21003.46+22737.54</f>
        <v>43741</v>
      </c>
      <c r="E384" s="201" t="s">
        <v>802</v>
      </c>
    </row>
    <row r="385" spans="1:5" ht="12.75">
      <c r="A385" s="43">
        <v>82</v>
      </c>
      <c r="B385" s="1" t="s">
        <v>681</v>
      </c>
      <c r="C385" s="1" t="s">
        <v>510</v>
      </c>
      <c r="D385" s="168">
        <v>10936.3</v>
      </c>
      <c r="E385" s="201" t="s">
        <v>828</v>
      </c>
    </row>
    <row r="386" spans="1:5" ht="12.75">
      <c r="A386" s="43">
        <v>83</v>
      </c>
      <c r="B386" s="1" t="s">
        <v>681</v>
      </c>
      <c r="C386" s="1" t="s">
        <v>883</v>
      </c>
      <c r="D386" s="168">
        <f>169049.56+44950.44</f>
        <v>214000</v>
      </c>
      <c r="E386" s="201" t="s">
        <v>884</v>
      </c>
    </row>
    <row r="387" spans="1:5" ht="12.75">
      <c r="A387" s="43">
        <v>84</v>
      </c>
      <c r="B387" s="1" t="s">
        <v>885</v>
      </c>
      <c r="C387" s="1" t="s">
        <v>886</v>
      </c>
      <c r="D387" s="168">
        <v>105295.41</v>
      </c>
      <c r="E387" s="201" t="s">
        <v>887</v>
      </c>
    </row>
    <row r="388" spans="1:5" ht="12.75">
      <c r="A388" s="43">
        <v>85</v>
      </c>
      <c r="B388" s="1" t="s">
        <v>885</v>
      </c>
      <c r="C388" s="1" t="s">
        <v>886</v>
      </c>
      <c r="D388" s="168">
        <v>53891.59</v>
      </c>
      <c r="E388" s="201" t="s">
        <v>887</v>
      </c>
    </row>
    <row r="389" spans="1:5" ht="12.75">
      <c r="A389" s="43">
        <v>86</v>
      </c>
      <c r="B389" s="1" t="s">
        <v>885</v>
      </c>
      <c r="C389" s="1" t="s">
        <v>886</v>
      </c>
      <c r="D389" s="168">
        <f>183000-105295.41-53891.59</f>
        <v>23813</v>
      </c>
      <c r="E389" s="201" t="s">
        <v>887</v>
      </c>
    </row>
    <row r="390" spans="1:5" ht="12.75">
      <c r="A390" s="43">
        <v>87</v>
      </c>
      <c r="B390" s="1" t="s">
        <v>888</v>
      </c>
      <c r="C390" s="1" t="s">
        <v>875</v>
      </c>
      <c r="D390" s="168">
        <v>49709.86</v>
      </c>
      <c r="E390" s="201" t="s">
        <v>832</v>
      </c>
    </row>
    <row r="391" spans="1:5" ht="12.75">
      <c r="A391" s="43">
        <v>88</v>
      </c>
      <c r="B391" s="1" t="s">
        <v>888</v>
      </c>
      <c r="C391" s="1" t="s">
        <v>875</v>
      </c>
      <c r="D391" s="168">
        <v>65260.31</v>
      </c>
      <c r="E391" s="201" t="s">
        <v>832</v>
      </c>
    </row>
    <row r="392" spans="1:5" ht="12.75">
      <c r="A392" s="43">
        <v>89</v>
      </c>
      <c r="B392" s="1" t="s">
        <v>888</v>
      </c>
      <c r="C392" s="1" t="s">
        <v>875</v>
      </c>
      <c r="D392" s="168">
        <f>201059.74-D391-D390</f>
        <v>86089.56999999999</v>
      </c>
      <c r="E392" s="201" t="s">
        <v>832</v>
      </c>
    </row>
    <row r="393" spans="1:5" ht="12.75">
      <c r="A393" s="43">
        <v>90</v>
      </c>
      <c r="B393" s="1" t="s">
        <v>685</v>
      </c>
      <c r="C393" s="1" t="s">
        <v>510</v>
      </c>
      <c r="D393" s="168">
        <v>1968.62</v>
      </c>
      <c r="E393" s="201" t="s">
        <v>810</v>
      </c>
    </row>
    <row r="394" spans="1:5" ht="12.75">
      <c r="A394" s="43">
        <v>91</v>
      </c>
      <c r="B394" s="1" t="s">
        <v>685</v>
      </c>
      <c r="C394" s="1" t="s">
        <v>510</v>
      </c>
      <c r="D394" s="168">
        <f>61823.05-D393</f>
        <v>59854.43</v>
      </c>
      <c r="E394" s="201" t="s">
        <v>810</v>
      </c>
    </row>
    <row r="395" spans="1:5" ht="12.75">
      <c r="A395" s="43">
        <v>92</v>
      </c>
      <c r="B395" s="1" t="s">
        <v>688</v>
      </c>
      <c r="C395" s="1" t="s">
        <v>510</v>
      </c>
      <c r="D395" s="168">
        <v>89965.57</v>
      </c>
      <c r="E395" s="201" t="s">
        <v>810</v>
      </c>
    </row>
    <row r="396" spans="1:5" ht="12.75">
      <c r="A396" s="43">
        <v>93</v>
      </c>
      <c r="B396" s="1" t="s">
        <v>889</v>
      </c>
      <c r="C396" s="1" t="s">
        <v>510</v>
      </c>
      <c r="D396" s="168">
        <f>18458.15+368.57</f>
        <v>18826.72</v>
      </c>
      <c r="E396" s="201" t="s">
        <v>890</v>
      </c>
    </row>
    <row r="397" spans="1:5" ht="12.75">
      <c r="A397" s="43">
        <v>94</v>
      </c>
      <c r="B397" s="1" t="s">
        <v>693</v>
      </c>
      <c r="C397" s="1" t="s">
        <v>510</v>
      </c>
      <c r="D397" s="168">
        <v>49810.69</v>
      </c>
      <c r="E397" s="201" t="s">
        <v>828</v>
      </c>
    </row>
    <row r="398" spans="1:5" ht="12.75">
      <c r="A398" s="43">
        <v>95</v>
      </c>
      <c r="B398" s="1" t="s">
        <v>693</v>
      </c>
      <c r="C398" s="1" t="s">
        <v>705</v>
      </c>
      <c r="D398" s="168">
        <v>980</v>
      </c>
      <c r="E398" s="201" t="s">
        <v>858</v>
      </c>
    </row>
    <row r="399" spans="1:5" ht="12.75">
      <c r="A399" s="43">
        <v>96</v>
      </c>
      <c r="B399" s="1" t="s">
        <v>797</v>
      </c>
      <c r="C399" s="1" t="s">
        <v>510</v>
      </c>
      <c r="D399" s="168">
        <f>67860.92+25060.39</f>
        <v>92921.31</v>
      </c>
      <c r="E399" s="201" t="s">
        <v>891</v>
      </c>
    </row>
    <row r="400" spans="1:5" ht="12.75">
      <c r="A400" s="43">
        <v>97</v>
      </c>
      <c r="B400" s="1" t="s">
        <v>892</v>
      </c>
      <c r="C400" s="1" t="s">
        <v>510</v>
      </c>
      <c r="D400" s="168">
        <v>13803.7</v>
      </c>
      <c r="E400" s="201" t="s">
        <v>849</v>
      </c>
    </row>
    <row r="401" spans="1:5" ht="12.75">
      <c r="A401" s="43">
        <v>98</v>
      </c>
      <c r="B401" s="1" t="s">
        <v>798</v>
      </c>
      <c r="C401" s="1" t="s">
        <v>510</v>
      </c>
      <c r="D401" s="168">
        <v>10326.59</v>
      </c>
      <c r="E401" s="201" t="s">
        <v>893</v>
      </c>
    </row>
    <row r="402" spans="1:5" ht="12.75">
      <c r="A402" s="43">
        <v>99</v>
      </c>
      <c r="B402" s="1" t="s">
        <v>798</v>
      </c>
      <c r="C402" s="1" t="s">
        <v>510</v>
      </c>
      <c r="D402" s="168">
        <v>64515.5</v>
      </c>
      <c r="E402" s="201" t="s">
        <v>878</v>
      </c>
    </row>
    <row r="403" spans="1:5" ht="12.75">
      <c r="A403" s="1"/>
      <c r="B403" s="1"/>
      <c r="C403" s="1"/>
      <c r="D403" s="9">
        <f>SUM(D304:D402)</f>
        <v>4872784.36</v>
      </c>
      <c r="E403" s="1"/>
    </row>
    <row r="404" spans="1:5" ht="12.75">
      <c r="A404" s="42"/>
      <c r="B404" s="42"/>
      <c r="C404" s="42"/>
      <c r="D404" s="210"/>
      <c r="E404" s="42"/>
    </row>
    <row r="405" spans="1:5" ht="18">
      <c r="A405" s="226" t="s">
        <v>894</v>
      </c>
      <c r="B405" s="226"/>
      <c r="C405" s="226"/>
      <c r="D405" s="226"/>
      <c r="E405" s="226"/>
    </row>
    <row r="406" spans="1:5" ht="15">
      <c r="A406" s="203"/>
      <c r="B406" s="204"/>
      <c r="C406" s="204"/>
      <c r="D406" s="198"/>
      <c r="E406" s="204"/>
    </row>
    <row r="407" spans="1:5" ht="12.75">
      <c r="A407" s="41" t="s">
        <v>482</v>
      </c>
      <c r="B407" s="41" t="s">
        <v>370</v>
      </c>
      <c r="C407" s="41" t="s">
        <v>483</v>
      </c>
      <c r="D407" s="199" t="s">
        <v>484</v>
      </c>
      <c r="E407" s="41" t="s">
        <v>485</v>
      </c>
    </row>
    <row r="408" spans="1:5" ht="12.75">
      <c r="A408" s="43"/>
      <c r="B408" s="43"/>
      <c r="C408" s="43"/>
      <c r="D408" s="200"/>
      <c r="E408" s="43"/>
    </row>
    <row r="409" spans="1:5" ht="12.75">
      <c r="A409" s="43">
        <v>1</v>
      </c>
      <c r="B409" s="43" t="s">
        <v>492</v>
      </c>
      <c r="C409" s="43" t="s">
        <v>895</v>
      </c>
      <c r="D409" s="200">
        <v>15542</v>
      </c>
      <c r="E409" s="208" t="s">
        <v>896</v>
      </c>
    </row>
    <row r="410" spans="1:5" ht="12.75">
      <c r="A410" s="43">
        <v>2</v>
      </c>
      <c r="B410" s="43" t="s">
        <v>504</v>
      </c>
      <c r="C410" s="43" t="s">
        <v>895</v>
      </c>
      <c r="D410" s="200">
        <v>47724</v>
      </c>
      <c r="E410" s="208" t="s">
        <v>897</v>
      </c>
    </row>
    <row r="411" spans="1:5" ht="12.75">
      <c r="A411" s="43">
        <v>3</v>
      </c>
      <c r="B411" s="43" t="s">
        <v>589</v>
      </c>
      <c r="C411" s="43" t="s">
        <v>895</v>
      </c>
      <c r="D411" s="200">
        <v>16765</v>
      </c>
      <c r="E411" s="208" t="s">
        <v>896</v>
      </c>
    </row>
    <row r="412" spans="1:5" ht="12.75">
      <c r="A412" s="43">
        <v>4</v>
      </c>
      <c r="B412" s="43" t="s">
        <v>512</v>
      </c>
      <c r="C412" s="43" t="s">
        <v>895</v>
      </c>
      <c r="D412" s="200">
        <v>60399</v>
      </c>
      <c r="E412" s="208" t="s">
        <v>897</v>
      </c>
    </row>
    <row r="413" spans="1:5" ht="12.75">
      <c r="A413" s="43">
        <v>5</v>
      </c>
      <c r="B413" s="1" t="s">
        <v>512</v>
      </c>
      <c r="C413" s="1" t="s">
        <v>898</v>
      </c>
      <c r="D413" s="168">
        <v>190698</v>
      </c>
      <c r="E413" s="208" t="s">
        <v>899</v>
      </c>
    </row>
    <row r="414" spans="1:5" ht="12.75">
      <c r="A414" s="43">
        <v>6</v>
      </c>
      <c r="B414" s="1" t="s">
        <v>731</v>
      </c>
      <c r="C414" s="1" t="s">
        <v>895</v>
      </c>
      <c r="D414" s="168">
        <v>49727</v>
      </c>
      <c r="E414" s="208" t="s">
        <v>897</v>
      </c>
    </row>
    <row r="415" spans="1:5" ht="12.75">
      <c r="A415" s="43">
        <v>7</v>
      </c>
      <c r="B415" s="1" t="s">
        <v>598</v>
      </c>
      <c r="C415" s="1" t="s">
        <v>895</v>
      </c>
      <c r="D415" s="168">
        <f>16212.4+27722.6</f>
        <v>43935</v>
      </c>
      <c r="E415" s="208" t="s">
        <v>897</v>
      </c>
    </row>
    <row r="416" spans="1:5" ht="12.75">
      <c r="A416" s="43">
        <v>8</v>
      </c>
      <c r="B416" s="1" t="s">
        <v>518</v>
      </c>
      <c r="C416" s="1" t="s">
        <v>895</v>
      </c>
      <c r="D416" s="168">
        <f>61778.31+11903.69</f>
        <v>73682</v>
      </c>
      <c r="E416" s="208" t="s">
        <v>896</v>
      </c>
    </row>
    <row r="417" spans="1:5" ht="12.75">
      <c r="A417" s="43">
        <v>9</v>
      </c>
      <c r="B417" s="1" t="s">
        <v>900</v>
      </c>
      <c r="C417" s="1" t="s">
        <v>515</v>
      </c>
      <c r="D417" s="168">
        <v>1491</v>
      </c>
      <c r="E417" s="208" t="s">
        <v>901</v>
      </c>
    </row>
    <row r="418" spans="1:5" ht="12.75">
      <c r="A418" s="43">
        <v>10</v>
      </c>
      <c r="B418" s="1" t="s">
        <v>902</v>
      </c>
      <c r="C418" s="1" t="s">
        <v>903</v>
      </c>
      <c r="D418" s="168">
        <f>24332</f>
        <v>24332</v>
      </c>
      <c r="E418" s="208" t="s">
        <v>904</v>
      </c>
    </row>
    <row r="419" spans="1:5" ht="12.75">
      <c r="A419" s="43">
        <v>11</v>
      </c>
      <c r="B419" s="1" t="s">
        <v>905</v>
      </c>
      <c r="C419" s="1" t="s">
        <v>903</v>
      </c>
      <c r="D419" s="168">
        <v>13985.44</v>
      </c>
      <c r="E419" s="208" t="s">
        <v>904</v>
      </c>
    </row>
    <row r="420" spans="1:5" ht="12.75">
      <c r="A420" s="43">
        <v>12</v>
      </c>
      <c r="B420" s="1" t="s">
        <v>906</v>
      </c>
      <c r="C420" s="1" t="s">
        <v>903</v>
      </c>
      <c r="D420" s="168">
        <f>9515.16+7966.64</f>
        <v>17481.8</v>
      </c>
      <c r="E420" s="208" t="s">
        <v>904</v>
      </c>
    </row>
    <row r="421" spans="1:5" ht="12.75">
      <c r="A421" s="43">
        <v>13</v>
      </c>
      <c r="B421" s="1" t="s">
        <v>907</v>
      </c>
      <c r="C421" s="1" t="s">
        <v>903</v>
      </c>
      <c r="D421" s="168">
        <v>20978.16</v>
      </c>
      <c r="E421" s="208" t="s">
        <v>904</v>
      </c>
    </row>
    <row r="422" spans="1:5" ht="12.75">
      <c r="A422" s="43">
        <v>14</v>
      </c>
      <c r="B422" s="1" t="s">
        <v>733</v>
      </c>
      <c r="C422" s="1" t="s">
        <v>903</v>
      </c>
      <c r="D422" s="168">
        <f>29376.59+9083.37</f>
        <v>38459.96</v>
      </c>
      <c r="E422" s="208" t="s">
        <v>904</v>
      </c>
    </row>
    <row r="423" spans="1:5" ht="12.75">
      <c r="A423" s="43">
        <v>15</v>
      </c>
      <c r="B423" s="1" t="s">
        <v>908</v>
      </c>
      <c r="C423" s="1" t="s">
        <v>903</v>
      </c>
      <c r="D423" s="168">
        <f>20978.16</f>
        <v>20978.16</v>
      </c>
      <c r="E423" s="208" t="s">
        <v>904</v>
      </c>
    </row>
    <row r="424" spans="1:5" ht="12.75">
      <c r="A424" s="43">
        <v>16</v>
      </c>
      <c r="B424" s="1" t="s">
        <v>908</v>
      </c>
      <c r="C424" s="1" t="s">
        <v>909</v>
      </c>
      <c r="D424" s="168">
        <v>11336.4</v>
      </c>
      <c r="E424" s="207" t="s">
        <v>910</v>
      </c>
    </row>
    <row r="425" spans="1:5" ht="12.75">
      <c r="A425" s="43">
        <v>17</v>
      </c>
      <c r="B425" s="1" t="s">
        <v>911</v>
      </c>
      <c r="C425" s="1" t="s">
        <v>898</v>
      </c>
      <c r="D425" s="168">
        <v>156002</v>
      </c>
      <c r="E425" s="208" t="s">
        <v>912</v>
      </c>
    </row>
    <row r="426" spans="1:5" ht="12.75">
      <c r="A426" s="43">
        <v>18</v>
      </c>
      <c r="B426" s="1" t="s">
        <v>913</v>
      </c>
      <c r="C426" s="1" t="s">
        <v>903</v>
      </c>
      <c r="D426" s="168">
        <f>9873.66+14600.86</f>
        <v>24474.52</v>
      </c>
      <c r="E426" s="208" t="s">
        <v>904</v>
      </c>
    </row>
    <row r="427" spans="1:5" ht="12.75">
      <c r="A427" s="43">
        <v>19</v>
      </c>
      <c r="B427" s="1" t="s">
        <v>914</v>
      </c>
      <c r="C427" s="1" t="s">
        <v>903</v>
      </c>
      <c r="D427" s="168">
        <v>20978.16</v>
      </c>
      <c r="E427" s="208" t="s">
        <v>904</v>
      </c>
    </row>
    <row r="428" spans="1:5" ht="12.75">
      <c r="A428" s="43">
        <v>20</v>
      </c>
      <c r="B428" s="1" t="s">
        <v>521</v>
      </c>
      <c r="C428" s="1" t="s">
        <v>895</v>
      </c>
      <c r="D428" s="168">
        <v>99192</v>
      </c>
      <c r="E428" s="208" t="s">
        <v>897</v>
      </c>
    </row>
    <row r="429" spans="1:5" ht="12.75">
      <c r="A429" s="43">
        <v>21</v>
      </c>
      <c r="B429" s="1" t="s">
        <v>915</v>
      </c>
      <c r="C429" s="1" t="s">
        <v>903</v>
      </c>
      <c r="D429" s="168">
        <f>14233.2+10241.32</f>
        <v>24474.52</v>
      </c>
      <c r="E429" s="208" t="s">
        <v>904</v>
      </c>
    </row>
    <row r="430" spans="1:5" ht="12.75">
      <c r="A430" s="43">
        <v>22</v>
      </c>
      <c r="B430" s="1" t="s">
        <v>916</v>
      </c>
      <c r="C430" s="1" t="s">
        <v>903</v>
      </c>
      <c r="D430" s="168">
        <v>20978.16</v>
      </c>
      <c r="E430" s="208" t="s">
        <v>904</v>
      </c>
    </row>
    <row r="431" spans="1:5" ht="12.75">
      <c r="A431" s="43">
        <v>23</v>
      </c>
      <c r="B431" s="1" t="s">
        <v>917</v>
      </c>
      <c r="C431" s="1" t="s">
        <v>903</v>
      </c>
      <c r="D431" s="168">
        <f>3944.45+31019.15</f>
        <v>34963.6</v>
      </c>
      <c r="E431" s="208" t="s">
        <v>904</v>
      </c>
    </row>
    <row r="432" spans="1:5" ht="12.75">
      <c r="A432" s="43">
        <v>24</v>
      </c>
      <c r="B432" s="1" t="s">
        <v>918</v>
      </c>
      <c r="C432" s="1" t="s">
        <v>903</v>
      </c>
      <c r="D432" s="168">
        <v>27970.88</v>
      </c>
      <c r="E432" s="208" t="s">
        <v>904</v>
      </c>
    </row>
    <row r="433" spans="1:5" ht="12.75">
      <c r="A433" s="43">
        <v>25</v>
      </c>
      <c r="B433" s="1" t="s">
        <v>919</v>
      </c>
      <c r="C433" s="1" t="s">
        <v>903</v>
      </c>
      <c r="D433" s="168">
        <f>6861+21109.88</f>
        <v>27970.88</v>
      </c>
      <c r="E433" s="201" t="s">
        <v>904</v>
      </c>
    </row>
    <row r="434" spans="1:5" ht="12.75">
      <c r="A434" s="43">
        <v>26</v>
      </c>
      <c r="B434" s="1" t="s">
        <v>920</v>
      </c>
      <c r="C434" s="1" t="s">
        <v>903</v>
      </c>
      <c r="D434" s="168">
        <f>21798.42+2533.58</f>
        <v>24332</v>
      </c>
      <c r="E434" s="201" t="s">
        <v>904</v>
      </c>
    </row>
    <row r="435" spans="1:5" ht="12.75">
      <c r="A435" s="43">
        <v>27</v>
      </c>
      <c r="B435" s="1" t="s">
        <v>921</v>
      </c>
      <c r="C435" s="1" t="s">
        <v>903</v>
      </c>
      <c r="D435" s="168">
        <v>20978.16</v>
      </c>
      <c r="E435" s="208" t="s">
        <v>904</v>
      </c>
    </row>
    <row r="436" spans="1:5" ht="12.75">
      <c r="A436" s="43">
        <v>28</v>
      </c>
      <c r="B436" s="1" t="s">
        <v>922</v>
      </c>
      <c r="C436" s="1" t="s">
        <v>903</v>
      </c>
      <c r="D436" s="168">
        <v>10428</v>
      </c>
      <c r="E436" s="208" t="s">
        <v>904</v>
      </c>
    </row>
    <row r="437" spans="1:5" ht="12.75">
      <c r="A437" s="43">
        <v>29</v>
      </c>
      <c r="B437" s="1" t="s">
        <v>827</v>
      </c>
      <c r="C437" s="1" t="s">
        <v>903</v>
      </c>
      <c r="D437" s="168">
        <v>24332</v>
      </c>
      <c r="E437" s="208" t="s">
        <v>904</v>
      </c>
    </row>
    <row r="438" spans="1:5" ht="12.75">
      <c r="A438" s="43">
        <v>30</v>
      </c>
      <c r="B438" s="1" t="s">
        <v>525</v>
      </c>
      <c r="C438" s="1" t="s">
        <v>895</v>
      </c>
      <c r="D438" s="168">
        <v>86285</v>
      </c>
      <c r="E438" s="208" t="s">
        <v>896</v>
      </c>
    </row>
    <row r="439" spans="1:5" ht="12.75">
      <c r="A439" s="43">
        <v>31</v>
      </c>
      <c r="B439" s="1" t="s">
        <v>923</v>
      </c>
      <c r="C439" s="1" t="s">
        <v>903</v>
      </c>
      <c r="D439" s="168">
        <v>17380</v>
      </c>
      <c r="E439" s="208" t="s">
        <v>904</v>
      </c>
    </row>
    <row r="440" spans="1:5" ht="12.75">
      <c r="A440" s="43">
        <v>32</v>
      </c>
      <c r="B440" s="1" t="s">
        <v>924</v>
      </c>
      <c r="C440" s="1" t="s">
        <v>903</v>
      </c>
      <c r="D440" s="168">
        <f>6247.06+11132.94</f>
        <v>17380</v>
      </c>
      <c r="E440" s="208" t="s">
        <v>904</v>
      </c>
    </row>
    <row r="441" spans="1:5" ht="12.75">
      <c r="A441" s="43">
        <v>33</v>
      </c>
      <c r="B441" s="1" t="s">
        <v>925</v>
      </c>
      <c r="C441" s="1" t="s">
        <v>903</v>
      </c>
      <c r="D441" s="168">
        <v>20856</v>
      </c>
      <c r="E441" s="208" t="s">
        <v>904</v>
      </c>
    </row>
    <row r="442" spans="1:5" ht="12.75">
      <c r="A442" s="43">
        <v>34</v>
      </c>
      <c r="B442" s="1" t="s">
        <v>926</v>
      </c>
      <c r="C442" s="1" t="s">
        <v>903</v>
      </c>
      <c r="D442" s="168">
        <f>10238.86+3665.14</f>
        <v>13904</v>
      </c>
      <c r="E442" s="208" t="s">
        <v>904</v>
      </c>
    </row>
    <row r="443" spans="1:5" ht="12.75">
      <c r="A443" s="43">
        <v>35</v>
      </c>
      <c r="B443" s="1" t="s">
        <v>618</v>
      </c>
      <c r="C443" s="1" t="s">
        <v>895</v>
      </c>
      <c r="D443" s="168">
        <v>47274</v>
      </c>
      <c r="E443" s="208" t="s">
        <v>897</v>
      </c>
    </row>
    <row r="444" spans="1:5" ht="12.75">
      <c r="A444" s="43">
        <v>36</v>
      </c>
      <c r="B444" s="1" t="s">
        <v>529</v>
      </c>
      <c r="C444" s="1" t="s">
        <v>895</v>
      </c>
      <c r="D444" s="168">
        <f>48321.38+4086.62</f>
        <v>52408</v>
      </c>
      <c r="E444" s="208" t="s">
        <v>897</v>
      </c>
    </row>
    <row r="445" spans="1:5" ht="12.75">
      <c r="A445" s="43">
        <v>37</v>
      </c>
      <c r="B445" s="1" t="s">
        <v>530</v>
      </c>
      <c r="C445" s="1" t="s">
        <v>573</v>
      </c>
      <c r="D445" s="168">
        <v>71030</v>
      </c>
      <c r="E445" s="201" t="s">
        <v>897</v>
      </c>
    </row>
    <row r="446" spans="1:5" ht="12.75">
      <c r="A446" s="43">
        <v>38</v>
      </c>
      <c r="B446" s="1" t="s">
        <v>531</v>
      </c>
      <c r="C446" s="1" t="s">
        <v>895</v>
      </c>
      <c r="D446" s="168">
        <v>49727</v>
      </c>
      <c r="E446" s="201" t="s">
        <v>896</v>
      </c>
    </row>
    <row r="447" spans="1:5" ht="12.75">
      <c r="A447" s="43">
        <v>39</v>
      </c>
      <c r="B447" s="1" t="s">
        <v>624</v>
      </c>
      <c r="C447" s="1" t="s">
        <v>927</v>
      </c>
      <c r="D447" s="168">
        <v>2317.79</v>
      </c>
      <c r="E447" s="201" t="s">
        <v>901</v>
      </c>
    </row>
    <row r="448" spans="1:5" ht="12.75">
      <c r="A448" s="43">
        <v>40</v>
      </c>
      <c r="B448" s="1" t="s">
        <v>846</v>
      </c>
      <c r="C448" s="1" t="s">
        <v>573</v>
      </c>
      <c r="D448" s="168">
        <v>53008</v>
      </c>
      <c r="E448" s="201" t="s">
        <v>897</v>
      </c>
    </row>
    <row r="449" spans="1:5" ht="12.75">
      <c r="A449" s="43">
        <v>41</v>
      </c>
      <c r="B449" s="1" t="s">
        <v>630</v>
      </c>
      <c r="C449" s="1" t="s">
        <v>515</v>
      </c>
      <c r="D449" s="168">
        <v>1572.44</v>
      </c>
      <c r="E449" s="201" t="s">
        <v>928</v>
      </c>
    </row>
    <row r="450" spans="1:5" ht="12.75">
      <c r="A450" s="43">
        <v>42</v>
      </c>
      <c r="B450" s="1" t="s">
        <v>929</v>
      </c>
      <c r="C450" s="1" t="s">
        <v>515</v>
      </c>
      <c r="D450" s="168">
        <v>2840.4</v>
      </c>
      <c r="E450" s="201" t="s">
        <v>901</v>
      </c>
    </row>
    <row r="451" spans="1:5" ht="12.75">
      <c r="A451" s="43">
        <v>43</v>
      </c>
      <c r="B451" s="1" t="s">
        <v>929</v>
      </c>
      <c r="C451" s="1" t="s">
        <v>903</v>
      </c>
      <c r="D451" s="168">
        <f>17650.15+3205.85</f>
        <v>20856</v>
      </c>
      <c r="E451" s="201" t="s">
        <v>904</v>
      </c>
    </row>
    <row r="452" spans="1:5" ht="12.75">
      <c r="A452" s="43">
        <v>44</v>
      </c>
      <c r="B452" s="1" t="s">
        <v>930</v>
      </c>
      <c r="C452" s="1" t="s">
        <v>903</v>
      </c>
      <c r="D452" s="168">
        <f>10074.86+3829.14</f>
        <v>13904</v>
      </c>
      <c r="E452" s="201" t="s">
        <v>904</v>
      </c>
    </row>
    <row r="453" spans="1:5" ht="12.75">
      <c r="A453" s="43">
        <v>45</v>
      </c>
      <c r="B453" s="1" t="s">
        <v>931</v>
      </c>
      <c r="C453" s="1" t="s">
        <v>903</v>
      </c>
      <c r="D453" s="168">
        <v>20856</v>
      </c>
      <c r="E453" s="201" t="s">
        <v>904</v>
      </c>
    </row>
    <row r="454" spans="1:5" ht="12.75">
      <c r="A454" s="43">
        <v>46</v>
      </c>
      <c r="B454" s="1" t="s">
        <v>932</v>
      </c>
      <c r="C454" s="1" t="s">
        <v>903</v>
      </c>
      <c r="D454" s="168">
        <f>24332</f>
        <v>24332</v>
      </c>
      <c r="E454" s="201" t="s">
        <v>904</v>
      </c>
    </row>
    <row r="455" spans="1:5" ht="12.75">
      <c r="A455" s="43">
        <v>47</v>
      </c>
      <c r="B455" s="1" t="s">
        <v>535</v>
      </c>
      <c r="C455" s="1" t="s">
        <v>895</v>
      </c>
      <c r="D455" s="168">
        <v>112622</v>
      </c>
      <c r="E455" s="201" t="s">
        <v>896</v>
      </c>
    </row>
    <row r="456" spans="1:5" ht="12.75">
      <c r="A456" s="43">
        <v>48</v>
      </c>
      <c r="B456" s="1" t="s">
        <v>933</v>
      </c>
      <c r="C456" s="1" t="s">
        <v>903</v>
      </c>
      <c r="D456" s="168">
        <v>34760</v>
      </c>
      <c r="E456" s="201" t="s">
        <v>904</v>
      </c>
    </row>
    <row r="457" spans="1:5" ht="12.75">
      <c r="A457" s="43">
        <v>49</v>
      </c>
      <c r="B457" s="1" t="s">
        <v>934</v>
      </c>
      <c r="C457" s="1" t="s">
        <v>903</v>
      </c>
      <c r="D457" s="168">
        <f>20011.45+4320.55</f>
        <v>24332</v>
      </c>
      <c r="E457" s="201" t="s">
        <v>904</v>
      </c>
    </row>
    <row r="458" spans="1:5" ht="12.75">
      <c r="A458" s="43">
        <v>50</v>
      </c>
      <c r="B458" s="1" t="s">
        <v>935</v>
      </c>
      <c r="C458" s="1" t="s">
        <v>903</v>
      </c>
      <c r="D458" s="168">
        <v>41712</v>
      </c>
      <c r="E458" s="208" t="s">
        <v>904</v>
      </c>
    </row>
    <row r="459" spans="1:5" ht="12.75">
      <c r="A459" s="43">
        <v>51</v>
      </c>
      <c r="B459" s="1" t="s">
        <v>936</v>
      </c>
      <c r="C459" s="1" t="s">
        <v>903</v>
      </c>
      <c r="D459" s="168">
        <f>5979.75+11400.25</f>
        <v>17380</v>
      </c>
      <c r="E459" s="208" t="s">
        <v>904</v>
      </c>
    </row>
    <row r="460" spans="1:5" ht="12.75">
      <c r="A460" s="43">
        <v>52</v>
      </c>
      <c r="B460" s="1" t="s">
        <v>937</v>
      </c>
      <c r="C460" s="1" t="s">
        <v>903</v>
      </c>
      <c r="D460" s="168">
        <f>17243+10565</f>
        <v>27808</v>
      </c>
      <c r="E460" s="208" t="s">
        <v>904</v>
      </c>
    </row>
    <row r="461" spans="1:5" ht="12.75">
      <c r="A461" s="43">
        <v>53</v>
      </c>
      <c r="B461" s="1" t="s">
        <v>938</v>
      </c>
      <c r="C461" s="1" t="s">
        <v>903</v>
      </c>
      <c r="D461" s="168">
        <v>17380</v>
      </c>
      <c r="E461" s="208" t="s">
        <v>904</v>
      </c>
    </row>
    <row r="462" spans="1:5" ht="12.75">
      <c r="A462" s="43">
        <v>54</v>
      </c>
      <c r="B462" s="1" t="s">
        <v>539</v>
      </c>
      <c r="C462" s="1" t="s">
        <v>510</v>
      </c>
      <c r="D462" s="168">
        <v>29188.16</v>
      </c>
      <c r="E462" s="208" t="s">
        <v>939</v>
      </c>
    </row>
    <row r="463" spans="1:5" ht="12.75">
      <c r="A463" s="43">
        <v>55</v>
      </c>
      <c r="B463" s="1" t="s">
        <v>540</v>
      </c>
      <c r="C463" s="1" t="s">
        <v>895</v>
      </c>
      <c r="D463" s="168">
        <f>22715.13+27161.87</f>
        <v>49877</v>
      </c>
      <c r="E463" s="208" t="s">
        <v>897</v>
      </c>
    </row>
    <row r="464" spans="1:5" ht="12.75">
      <c r="A464" s="43">
        <v>56</v>
      </c>
      <c r="B464" s="1" t="s">
        <v>669</v>
      </c>
      <c r="C464" s="1" t="s">
        <v>895</v>
      </c>
      <c r="D464" s="168">
        <v>16715</v>
      </c>
      <c r="E464" s="208" t="s">
        <v>896</v>
      </c>
    </row>
    <row r="465" spans="1:5" ht="12.75">
      <c r="A465" s="43">
        <v>57</v>
      </c>
      <c r="B465" s="1" t="s">
        <v>776</v>
      </c>
      <c r="C465" s="1" t="s">
        <v>510</v>
      </c>
      <c r="D465" s="168">
        <v>98436.56</v>
      </c>
      <c r="E465" s="208" t="s">
        <v>939</v>
      </c>
    </row>
    <row r="466" spans="1:5" ht="12.75">
      <c r="A466" s="43">
        <v>58</v>
      </c>
      <c r="B466" s="1" t="s">
        <v>544</v>
      </c>
      <c r="C466" s="1" t="s">
        <v>940</v>
      </c>
      <c r="D466" s="168">
        <v>13913.64</v>
      </c>
      <c r="E466" s="208" t="s">
        <v>941</v>
      </c>
    </row>
    <row r="467" spans="1:5" ht="12.75">
      <c r="A467" s="43">
        <v>59</v>
      </c>
      <c r="B467" s="1" t="s">
        <v>876</v>
      </c>
      <c r="C467" s="1" t="s">
        <v>573</v>
      </c>
      <c r="D467" s="168">
        <v>59101</v>
      </c>
      <c r="E467" s="208" t="s">
        <v>897</v>
      </c>
    </row>
    <row r="468" spans="1:5" ht="12.75">
      <c r="A468" s="43">
        <v>60</v>
      </c>
      <c r="B468" s="1" t="s">
        <v>548</v>
      </c>
      <c r="C468" s="1" t="s">
        <v>895</v>
      </c>
      <c r="D468" s="168">
        <v>60578</v>
      </c>
      <c r="E468" s="208" t="s">
        <v>896</v>
      </c>
    </row>
    <row r="469" spans="1:5" ht="12.75">
      <c r="A469" s="43">
        <v>61</v>
      </c>
      <c r="B469" s="1" t="s">
        <v>671</v>
      </c>
      <c r="C469" s="1" t="s">
        <v>942</v>
      </c>
      <c r="D469" s="168">
        <v>124000</v>
      </c>
      <c r="E469" s="208" t="s">
        <v>943</v>
      </c>
    </row>
    <row r="470" spans="1:5" ht="12.75">
      <c r="A470" s="43">
        <v>62</v>
      </c>
      <c r="B470" s="1" t="s">
        <v>877</v>
      </c>
      <c r="C470" s="1" t="s">
        <v>895</v>
      </c>
      <c r="D470" s="168">
        <v>15542</v>
      </c>
      <c r="E470" s="208" t="s">
        <v>896</v>
      </c>
    </row>
    <row r="471" spans="1:5" ht="12.75">
      <c r="A471" s="43">
        <v>63</v>
      </c>
      <c r="B471" s="1" t="s">
        <v>549</v>
      </c>
      <c r="C471" s="1" t="s">
        <v>895</v>
      </c>
      <c r="D471" s="168">
        <f>27849.51+33307.49</f>
        <v>61157</v>
      </c>
      <c r="E471" s="208" t="s">
        <v>896</v>
      </c>
    </row>
    <row r="472" spans="1:5" ht="12.75">
      <c r="A472" s="43">
        <v>64</v>
      </c>
      <c r="B472" s="1" t="s">
        <v>550</v>
      </c>
      <c r="C472" s="1" t="s">
        <v>573</v>
      </c>
      <c r="D472" s="168">
        <v>66238</v>
      </c>
      <c r="E472" s="208" t="s">
        <v>897</v>
      </c>
    </row>
    <row r="473" spans="1:5" ht="12.75">
      <c r="A473" s="43">
        <v>65</v>
      </c>
      <c r="B473" s="1" t="s">
        <v>552</v>
      </c>
      <c r="C473" s="1" t="s">
        <v>573</v>
      </c>
      <c r="D473" s="168">
        <v>68241</v>
      </c>
      <c r="E473" s="208" t="s">
        <v>897</v>
      </c>
    </row>
    <row r="474" spans="1:5" ht="12.75">
      <c r="A474" s="43">
        <v>66</v>
      </c>
      <c r="B474" s="1" t="s">
        <v>784</v>
      </c>
      <c r="C474" s="1" t="s">
        <v>573</v>
      </c>
      <c r="D474" s="168">
        <v>47574</v>
      </c>
      <c r="E474" s="208" t="s">
        <v>897</v>
      </c>
    </row>
    <row r="475" spans="1:5" ht="12.75">
      <c r="A475" s="43">
        <v>67</v>
      </c>
      <c r="B475" s="1" t="s">
        <v>882</v>
      </c>
      <c r="C475" s="1" t="s">
        <v>944</v>
      </c>
      <c r="D475" s="168">
        <f>36184.9+361130.01</f>
        <v>397314.91000000003</v>
      </c>
      <c r="E475" s="208" t="s">
        <v>899</v>
      </c>
    </row>
    <row r="476" spans="1:5" ht="12.75">
      <c r="A476" s="43">
        <v>68</v>
      </c>
      <c r="B476" s="1" t="s">
        <v>554</v>
      </c>
      <c r="C476" s="1" t="s">
        <v>573</v>
      </c>
      <c r="D476" s="168">
        <v>51308</v>
      </c>
      <c r="E476" s="208" t="s">
        <v>897</v>
      </c>
    </row>
    <row r="477" spans="1:5" ht="12.75">
      <c r="A477" s="43">
        <v>69</v>
      </c>
      <c r="B477" s="1" t="s">
        <v>885</v>
      </c>
      <c r="C477" s="1" t="s">
        <v>945</v>
      </c>
      <c r="D477" s="168">
        <v>62600</v>
      </c>
      <c r="E477" s="208" t="s">
        <v>946</v>
      </c>
    </row>
    <row r="478" spans="1:5" ht="12.75">
      <c r="A478" s="43">
        <v>70</v>
      </c>
      <c r="B478" s="1" t="s">
        <v>947</v>
      </c>
      <c r="C478" s="1" t="s">
        <v>944</v>
      </c>
      <c r="D478" s="168">
        <v>50000</v>
      </c>
      <c r="E478" s="43" t="s">
        <v>948</v>
      </c>
    </row>
    <row r="479" spans="1:5" ht="12.75">
      <c r="A479" s="43">
        <v>71</v>
      </c>
      <c r="B479" s="1" t="s">
        <v>558</v>
      </c>
      <c r="C479" s="1" t="s">
        <v>573</v>
      </c>
      <c r="D479" s="168">
        <f>68872.53+6667.47</f>
        <v>75540</v>
      </c>
      <c r="E479" s="208" t="s">
        <v>897</v>
      </c>
    </row>
    <row r="480" spans="1:5" ht="12.75">
      <c r="A480" s="43">
        <v>72</v>
      </c>
      <c r="B480" s="1" t="s">
        <v>790</v>
      </c>
      <c r="C480" s="1" t="s">
        <v>573</v>
      </c>
      <c r="D480" s="168">
        <v>67684</v>
      </c>
      <c r="E480" s="208" t="s">
        <v>897</v>
      </c>
    </row>
    <row r="481" spans="1:5" ht="12.75">
      <c r="A481" s="43">
        <v>73</v>
      </c>
      <c r="B481" s="1" t="s">
        <v>559</v>
      </c>
      <c r="C481" s="1" t="s">
        <v>895</v>
      </c>
      <c r="D481" s="168">
        <v>47724</v>
      </c>
      <c r="E481" s="208" t="s">
        <v>897</v>
      </c>
    </row>
    <row r="482" spans="1:5" ht="12.75">
      <c r="A482" s="43">
        <v>74</v>
      </c>
      <c r="B482" s="1" t="s">
        <v>949</v>
      </c>
      <c r="C482" s="1" t="s">
        <v>950</v>
      </c>
      <c r="D482" s="168">
        <f>40472.57+17380.22</f>
        <v>57852.79</v>
      </c>
      <c r="E482" s="208" t="s">
        <v>951</v>
      </c>
    </row>
    <row r="483" spans="1:5" ht="12.75">
      <c r="A483" s="43">
        <v>75</v>
      </c>
      <c r="B483" s="1" t="s">
        <v>952</v>
      </c>
      <c r="C483" s="1" t="s">
        <v>573</v>
      </c>
      <c r="D483" s="168">
        <v>43935</v>
      </c>
      <c r="E483" s="208" t="s">
        <v>897</v>
      </c>
    </row>
    <row r="484" spans="1:5" ht="12.75">
      <c r="A484" s="1"/>
      <c r="B484" s="1" t="s">
        <v>408</v>
      </c>
      <c r="C484" s="1"/>
      <c r="D484" s="9">
        <f>SUM(D409:D483)</f>
        <v>3521034.4899999998</v>
      </c>
      <c r="E484" s="1"/>
    </row>
    <row r="485" ht="12.75">
      <c r="D485" s="202"/>
    </row>
    <row r="486" spans="1:5" ht="18">
      <c r="A486" s="226" t="s">
        <v>953</v>
      </c>
      <c r="B486" s="226"/>
      <c r="C486" s="226"/>
      <c r="D486" s="226"/>
      <c r="E486" s="226"/>
    </row>
    <row r="487" spans="1:5" ht="15">
      <c r="A487" s="203"/>
      <c r="B487" s="204"/>
      <c r="C487" s="204"/>
      <c r="D487" s="198"/>
      <c r="E487" s="204"/>
    </row>
    <row r="488" spans="1:5" ht="12.75">
      <c r="A488" s="41" t="s">
        <v>482</v>
      </c>
      <c r="B488" s="41" t="s">
        <v>370</v>
      </c>
      <c r="C488" s="41" t="s">
        <v>483</v>
      </c>
      <c r="D488" s="199" t="s">
        <v>484</v>
      </c>
      <c r="E488" s="41" t="s">
        <v>485</v>
      </c>
    </row>
    <row r="489" spans="1:5" ht="12.75">
      <c r="A489" s="43"/>
      <c r="B489" s="43"/>
      <c r="C489" s="43"/>
      <c r="D489" s="200"/>
      <c r="E489" s="43"/>
    </row>
    <row r="490" spans="1:5" ht="12.75">
      <c r="A490" s="43">
        <v>1</v>
      </c>
      <c r="B490" s="43" t="s">
        <v>704</v>
      </c>
      <c r="C490" s="211" t="s">
        <v>954</v>
      </c>
      <c r="D490" s="200">
        <f>103675.92+227109.63</f>
        <v>330785.55</v>
      </c>
      <c r="E490" s="208">
        <v>43983</v>
      </c>
    </row>
    <row r="491" spans="1:5" ht="12.75">
      <c r="A491" s="43">
        <v>2</v>
      </c>
      <c r="B491" s="43" t="s">
        <v>955</v>
      </c>
      <c r="C491" s="211" t="s">
        <v>956</v>
      </c>
      <c r="D491" s="200">
        <v>6330</v>
      </c>
      <c r="E491" s="208">
        <v>44174</v>
      </c>
    </row>
    <row r="492" spans="1:5" ht="12.75">
      <c r="A492" s="43">
        <v>3</v>
      </c>
      <c r="B492" s="43" t="s">
        <v>957</v>
      </c>
      <c r="C492" s="211" t="s">
        <v>956</v>
      </c>
      <c r="D492" s="200">
        <f>5064</f>
        <v>5064</v>
      </c>
      <c r="E492" s="208">
        <v>44176</v>
      </c>
    </row>
    <row r="493" spans="1:5" ht="12.75">
      <c r="A493" s="43">
        <v>4</v>
      </c>
      <c r="B493" s="43" t="s">
        <v>709</v>
      </c>
      <c r="C493" s="211" t="s">
        <v>573</v>
      </c>
      <c r="D493" s="200">
        <v>75470</v>
      </c>
      <c r="E493" s="208">
        <v>44089</v>
      </c>
    </row>
    <row r="494" spans="1:5" ht="12.75">
      <c r="A494" s="43">
        <v>5</v>
      </c>
      <c r="B494" s="43" t="s">
        <v>958</v>
      </c>
      <c r="C494" s="27" t="s">
        <v>956</v>
      </c>
      <c r="D494" s="200">
        <v>2532</v>
      </c>
      <c r="E494" s="208">
        <v>44186</v>
      </c>
    </row>
    <row r="495" spans="1:5" ht="12.75">
      <c r="A495" s="43">
        <v>6</v>
      </c>
      <c r="B495" s="43" t="s">
        <v>572</v>
      </c>
      <c r="C495" s="27" t="s">
        <v>573</v>
      </c>
      <c r="D495" s="200">
        <v>55115</v>
      </c>
      <c r="E495" s="208">
        <v>44089</v>
      </c>
    </row>
    <row r="496" spans="1:5" ht="12.75">
      <c r="A496" s="43">
        <v>7</v>
      </c>
      <c r="B496" s="1" t="s">
        <v>572</v>
      </c>
      <c r="C496" s="27" t="s">
        <v>956</v>
      </c>
      <c r="D496" s="200">
        <v>6330</v>
      </c>
      <c r="E496" s="208">
        <v>44159</v>
      </c>
    </row>
    <row r="497" spans="1:5" ht="12.75">
      <c r="A497" s="43">
        <v>8</v>
      </c>
      <c r="B497" s="1" t="s">
        <v>959</v>
      </c>
      <c r="C497" s="27" t="s">
        <v>956</v>
      </c>
      <c r="D497" s="200">
        <v>5064</v>
      </c>
      <c r="E497" s="208">
        <v>44195</v>
      </c>
    </row>
    <row r="498" spans="1:5" ht="12.75">
      <c r="A498" s="43">
        <v>9</v>
      </c>
      <c r="B498" s="1" t="s">
        <v>960</v>
      </c>
      <c r="C498" s="27" t="s">
        <v>956</v>
      </c>
      <c r="D498" s="200">
        <v>5064</v>
      </c>
      <c r="E498" s="208">
        <v>44160</v>
      </c>
    </row>
    <row r="499" spans="1:5" ht="12.75">
      <c r="A499" s="43">
        <v>10</v>
      </c>
      <c r="B499" s="1" t="s">
        <v>961</v>
      </c>
      <c r="C499" s="27" t="s">
        <v>956</v>
      </c>
      <c r="D499" s="200">
        <v>2532</v>
      </c>
      <c r="E499" s="208">
        <v>44186</v>
      </c>
    </row>
    <row r="500" spans="1:5" ht="12.75">
      <c r="A500" s="43">
        <v>11</v>
      </c>
      <c r="B500" s="1" t="s">
        <v>714</v>
      </c>
      <c r="C500" s="27" t="s">
        <v>875</v>
      </c>
      <c r="D500" s="200">
        <v>107952.61</v>
      </c>
      <c r="E500" s="208">
        <v>43983</v>
      </c>
    </row>
    <row r="501" spans="1:5" ht="12.75">
      <c r="A501" s="43">
        <v>12</v>
      </c>
      <c r="B501" s="1" t="s">
        <v>962</v>
      </c>
      <c r="C501" s="27" t="s">
        <v>956</v>
      </c>
      <c r="D501" s="200">
        <v>6330</v>
      </c>
      <c r="E501" s="208">
        <v>44174</v>
      </c>
    </row>
    <row r="502" spans="1:5" ht="12.75">
      <c r="A502" s="43">
        <v>13</v>
      </c>
      <c r="B502" s="1" t="s">
        <v>963</v>
      </c>
      <c r="C502" s="27" t="s">
        <v>956</v>
      </c>
      <c r="D502" s="200">
        <v>3798</v>
      </c>
      <c r="E502" s="208">
        <v>44162</v>
      </c>
    </row>
    <row r="503" spans="1:5" ht="12.75">
      <c r="A503" s="43">
        <v>14</v>
      </c>
      <c r="B503" s="1" t="s">
        <v>489</v>
      </c>
      <c r="C503" s="27" t="s">
        <v>956</v>
      </c>
      <c r="D503" s="200">
        <v>6330</v>
      </c>
      <c r="E503" s="208">
        <v>44043</v>
      </c>
    </row>
    <row r="504" spans="1:5" ht="12.75">
      <c r="A504" s="43">
        <v>15</v>
      </c>
      <c r="B504" s="1" t="s">
        <v>489</v>
      </c>
      <c r="C504" s="27" t="s">
        <v>956</v>
      </c>
      <c r="D504" s="200">
        <v>4924.74</v>
      </c>
      <c r="E504" s="208">
        <v>44033</v>
      </c>
    </row>
    <row r="505" spans="1:5" ht="12.75">
      <c r="A505" s="43">
        <v>16</v>
      </c>
      <c r="B505" s="27" t="s">
        <v>492</v>
      </c>
      <c r="C505" s="27" t="s">
        <v>510</v>
      </c>
      <c r="D505" s="200">
        <v>44600.86</v>
      </c>
      <c r="E505" s="212">
        <v>43892</v>
      </c>
    </row>
    <row r="506" spans="1:5" ht="12.75">
      <c r="A506" s="43">
        <v>17</v>
      </c>
      <c r="B506" s="1" t="s">
        <v>964</v>
      </c>
      <c r="C506" s="27" t="s">
        <v>956</v>
      </c>
      <c r="D506" s="200">
        <f>5064</f>
        <v>5064</v>
      </c>
      <c r="E506" s="208">
        <v>44176</v>
      </c>
    </row>
    <row r="507" spans="1:5" ht="12.75">
      <c r="A507" s="43">
        <v>18</v>
      </c>
      <c r="B507" s="1" t="s">
        <v>588</v>
      </c>
      <c r="C507" s="27" t="s">
        <v>573</v>
      </c>
      <c r="D507" s="200">
        <v>73513</v>
      </c>
      <c r="E507" s="208">
        <v>44089</v>
      </c>
    </row>
    <row r="508" spans="1:5" ht="12.75">
      <c r="A508" s="43">
        <v>19</v>
      </c>
      <c r="B508" s="1" t="s">
        <v>588</v>
      </c>
      <c r="C508" s="27" t="s">
        <v>965</v>
      </c>
      <c r="D508" s="200">
        <f>88260.6+62305.81</f>
        <v>150566.41</v>
      </c>
      <c r="E508" s="208">
        <v>44091</v>
      </c>
    </row>
    <row r="509" spans="1:5" ht="12.75">
      <c r="A509" s="43">
        <v>20</v>
      </c>
      <c r="B509" s="1" t="s">
        <v>966</v>
      </c>
      <c r="C509" s="27" t="s">
        <v>956</v>
      </c>
      <c r="D509" s="200">
        <v>5064</v>
      </c>
      <c r="E509" s="208">
        <v>44160</v>
      </c>
    </row>
    <row r="510" spans="1:5" ht="12.75">
      <c r="A510" s="43">
        <v>21</v>
      </c>
      <c r="B510" s="1" t="s">
        <v>967</v>
      </c>
      <c r="C510" s="1" t="s">
        <v>510</v>
      </c>
      <c r="D510" s="168">
        <v>29641.51</v>
      </c>
      <c r="E510" s="208">
        <v>43880</v>
      </c>
    </row>
    <row r="511" spans="1:5" ht="12.75">
      <c r="A511" s="43">
        <v>22</v>
      </c>
      <c r="B511" s="1" t="s">
        <v>589</v>
      </c>
      <c r="C511" s="27" t="s">
        <v>573</v>
      </c>
      <c r="D511" s="168">
        <v>42809</v>
      </c>
      <c r="E511" s="208">
        <v>44089</v>
      </c>
    </row>
    <row r="512" spans="1:5" ht="12.75">
      <c r="A512" s="43">
        <v>23</v>
      </c>
      <c r="B512" s="1" t="s">
        <v>507</v>
      </c>
      <c r="C512" s="27" t="s">
        <v>573</v>
      </c>
      <c r="D512" s="168">
        <v>39455</v>
      </c>
      <c r="E512" s="208">
        <v>44089</v>
      </c>
    </row>
    <row r="513" spans="1:5" ht="12.75">
      <c r="A513" s="43">
        <v>24</v>
      </c>
      <c r="B513" s="1" t="s">
        <v>968</v>
      </c>
      <c r="C513" s="27" t="s">
        <v>956</v>
      </c>
      <c r="D513" s="168">
        <f>5064</f>
        <v>5064</v>
      </c>
      <c r="E513" s="208">
        <v>44176</v>
      </c>
    </row>
    <row r="514" spans="1:5" ht="12.75">
      <c r="A514" s="43">
        <v>25</v>
      </c>
      <c r="B514" s="1" t="s">
        <v>727</v>
      </c>
      <c r="C514" s="1" t="s">
        <v>969</v>
      </c>
      <c r="D514" s="168">
        <f>64423.55+197192.51</f>
        <v>261616.06</v>
      </c>
      <c r="E514" s="208">
        <v>43983</v>
      </c>
    </row>
    <row r="515" spans="1:5" ht="12.75">
      <c r="A515" s="43">
        <v>26</v>
      </c>
      <c r="B515" s="1" t="s">
        <v>516</v>
      </c>
      <c r="C515" s="1" t="s">
        <v>970</v>
      </c>
      <c r="D515" s="168">
        <f>44886.43+55943.63+9169.94</f>
        <v>110000</v>
      </c>
      <c r="E515" s="208">
        <v>43851</v>
      </c>
    </row>
    <row r="516" spans="1:5" ht="12.75">
      <c r="A516" s="43">
        <v>27</v>
      </c>
      <c r="B516" s="1" t="s">
        <v>812</v>
      </c>
      <c r="C516" s="1" t="s">
        <v>970</v>
      </c>
      <c r="D516" s="168">
        <v>164943.25</v>
      </c>
      <c r="E516" s="208">
        <v>43900</v>
      </c>
    </row>
    <row r="517" spans="1:5" ht="12.75">
      <c r="A517" s="43">
        <v>28</v>
      </c>
      <c r="B517" s="1" t="s">
        <v>971</v>
      </c>
      <c r="C517" s="1" t="s">
        <v>972</v>
      </c>
      <c r="D517" s="168">
        <v>8552.92</v>
      </c>
      <c r="E517" s="208">
        <v>43852</v>
      </c>
    </row>
    <row r="518" spans="1:5" ht="12.75">
      <c r="A518" s="43">
        <v>29</v>
      </c>
      <c r="B518" s="1" t="s">
        <v>973</v>
      </c>
      <c r="C518" s="27" t="s">
        <v>956</v>
      </c>
      <c r="D518" s="168">
        <v>2532</v>
      </c>
      <c r="E518" s="208">
        <v>44195</v>
      </c>
    </row>
    <row r="519" spans="1:5" ht="12.75">
      <c r="A519" s="43">
        <v>30</v>
      </c>
      <c r="B519" s="1" t="s">
        <v>974</v>
      </c>
      <c r="C519" s="1" t="s">
        <v>510</v>
      </c>
      <c r="D519" s="168">
        <v>19237.21</v>
      </c>
      <c r="E519" s="208">
        <v>43873</v>
      </c>
    </row>
    <row r="520" spans="1:5" ht="12.75">
      <c r="A520" s="43">
        <v>31</v>
      </c>
      <c r="B520" s="1" t="s">
        <v>731</v>
      </c>
      <c r="C520" s="27" t="s">
        <v>956</v>
      </c>
      <c r="D520" s="168">
        <v>3798</v>
      </c>
      <c r="E520" s="208">
        <v>44159</v>
      </c>
    </row>
    <row r="521" spans="1:5" ht="12.75">
      <c r="A521" s="43">
        <v>32</v>
      </c>
      <c r="B521" s="1" t="s">
        <v>975</v>
      </c>
      <c r="C521" s="1" t="s">
        <v>510</v>
      </c>
      <c r="D521" s="168">
        <v>36859.45</v>
      </c>
      <c r="E521" s="208">
        <v>43880</v>
      </c>
    </row>
    <row r="522" spans="1:5" ht="12.75">
      <c r="A522" s="43">
        <v>33</v>
      </c>
      <c r="B522" s="1" t="s">
        <v>976</v>
      </c>
      <c r="C522" s="27" t="s">
        <v>956</v>
      </c>
      <c r="D522" s="168">
        <v>5064</v>
      </c>
      <c r="E522" s="208">
        <v>44186</v>
      </c>
    </row>
    <row r="523" spans="1:5" ht="12.75">
      <c r="A523" s="43">
        <v>34</v>
      </c>
      <c r="B523" s="1" t="s">
        <v>518</v>
      </c>
      <c r="C523" s="1" t="s">
        <v>954</v>
      </c>
      <c r="D523" s="168">
        <v>248086.53</v>
      </c>
      <c r="E523" s="208">
        <v>43952</v>
      </c>
    </row>
    <row r="524" spans="1:5" ht="12.75">
      <c r="A524" s="43">
        <v>35</v>
      </c>
      <c r="B524" s="1" t="s">
        <v>977</v>
      </c>
      <c r="C524" s="27" t="s">
        <v>956</v>
      </c>
      <c r="D524" s="168">
        <v>3798</v>
      </c>
      <c r="E524" s="208">
        <v>44174</v>
      </c>
    </row>
    <row r="525" spans="1:5" ht="12.75">
      <c r="A525" s="43">
        <v>36</v>
      </c>
      <c r="B525" s="1" t="s">
        <v>902</v>
      </c>
      <c r="C525" s="1" t="s">
        <v>978</v>
      </c>
      <c r="D525" s="168">
        <v>-11375.7</v>
      </c>
      <c r="E525" s="213" t="s">
        <v>904</v>
      </c>
    </row>
    <row r="526" spans="1:5" ht="12.75">
      <c r="A526" s="43">
        <v>37</v>
      </c>
      <c r="B526" s="1" t="s">
        <v>905</v>
      </c>
      <c r="C526" s="1" t="s">
        <v>978</v>
      </c>
      <c r="D526" s="168">
        <v>-5958.36</v>
      </c>
      <c r="E526" s="213" t="s">
        <v>904</v>
      </c>
    </row>
    <row r="527" spans="1:5" ht="12.75">
      <c r="A527" s="43">
        <v>38</v>
      </c>
      <c r="B527" s="1" t="s">
        <v>906</v>
      </c>
      <c r="C527" s="1" t="s">
        <v>978</v>
      </c>
      <c r="D527" s="168">
        <v>-7447.95</v>
      </c>
      <c r="E527" s="213" t="s">
        <v>904</v>
      </c>
    </row>
    <row r="528" spans="1:5" ht="12.75">
      <c r="A528" s="43">
        <v>39</v>
      </c>
      <c r="B528" s="1" t="s">
        <v>907</v>
      </c>
      <c r="C528" s="1" t="s">
        <v>978</v>
      </c>
      <c r="D528" s="168">
        <v>-8937.54</v>
      </c>
      <c r="E528" s="213" t="s">
        <v>904</v>
      </c>
    </row>
    <row r="529" spans="1:5" ht="12.75">
      <c r="A529" s="43">
        <v>40</v>
      </c>
      <c r="B529" s="1" t="s">
        <v>733</v>
      </c>
      <c r="C529" s="1" t="s">
        <v>978</v>
      </c>
      <c r="D529" s="168">
        <v>-16385.49</v>
      </c>
      <c r="E529" s="213" t="s">
        <v>904</v>
      </c>
    </row>
    <row r="530" spans="1:5" ht="12.75">
      <c r="A530" s="43">
        <v>41</v>
      </c>
      <c r="B530" s="1" t="s">
        <v>908</v>
      </c>
      <c r="C530" s="43" t="s">
        <v>978</v>
      </c>
      <c r="D530" s="200">
        <v>-8937.54</v>
      </c>
      <c r="E530" s="213" t="s">
        <v>904</v>
      </c>
    </row>
    <row r="531" spans="1:5" ht="12.75">
      <c r="A531" s="43">
        <v>42</v>
      </c>
      <c r="B531" s="1" t="s">
        <v>519</v>
      </c>
      <c r="C531" s="27" t="s">
        <v>573</v>
      </c>
      <c r="D531" s="168">
        <v>108372</v>
      </c>
      <c r="E531" s="208">
        <v>44089</v>
      </c>
    </row>
    <row r="532" spans="1:5" ht="12.75">
      <c r="A532" s="43">
        <v>43</v>
      </c>
      <c r="B532" s="1" t="s">
        <v>979</v>
      </c>
      <c r="C532" s="27" t="s">
        <v>956</v>
      </c>
      <c r="D532" s="168">
        <v>6330</v>
      </c>
      <c r="E532" s="208">
        <v>44159</v>
      </c>
    </row>
    <row r="533" spans="1:5" ht="12.75">
      <c r="A533" s="43">
        <v>44</v>
      </c>
      <c r="B533" s="1" t="s">
        <v>980</v>
      </c>
      <c r="C533" s="27" t="s">
        <v>956</v>
      </c>
      <c r="D533" s="168">
        <f>5064</f>
        <v>5064</v>
      </c>
      <c r="E533" s="208">
        <v>44176</v>
      </c>
    </row>
    <row r="534" spans="1:5" ht="12.75">
      <c r="A534" s="43">
        <v>45</v>
      </c>
      <c r="B534" s="1" t="s">
        <v>981</v>
      </c>
      <c r="C534" s="27" t="s">
        <v>956</v>
      </c>
      <c r="D534" s="168">
        <v>5064</v>
      </c>
      <c r="E534" s="208">
        <v>44195</v>
      </c>
    </row>
    <row r="535" spans="1:5" ht="12.75">
      <c r="A535" s="43">
        <v>46</v>
      </c>
      <c r="B535" s="1" t="s">
        <v>913</v>
      </c>
      <c r="C535" s="1" t="s">
        <v>978</v>
      </c>
      <c r="D535" s="168">
        <v>-10427.13</v>
      </c>
      <c r="E535" s="214" t="s">
        <v>904</v>
      </c>
    </row>
    <row r="536" spans="1:5" ht="12.75">
      <c r="A536" s="43">
        <v>47</v>
      </c>
      <c r="B536" s="1" t="s">
        <v>914</v>
      </c>
      <c r="C536" s="1" t="s">
        <v>978</v>
      </c>
      <c r="D536" s="168">
        <v>-8937.54</v>
      </c>
      <c r="E536" s="214" t="s">
        <v>904</v>
      </c>
    </row>
    <row r="537" spans="1:5" ht="12.75">
      <c r="A537" s="43">
        <v>48</v>
      </c>
      <c r="B537" s="1" t="s">
        <v>914</v>
      </c>
      <c r="C537" s="1" t="s">
        <v>510</v>
      </c>
      <c r="D537" s="168">
        <v>7573.64</v>
      </c>
      <c r="E537" s="201">
        <v>43867</v>
      </c>
    </row>
    <row r="538" spans="1:5" ht="12.75">
      <c r="A538" s="43">
        <v>49</v>
      </c>
      <c r="B538" s="1" t="s">
        <v>982</v>
      </c>
      <c r="C538" s="27" t="s">
        <v>956</v>
      </c>
      <c r="D538" s="168">
        <v>5064</v>
      </c>
      <c r="E538" s="201">
        <v>44186</v>
      </c>
    </row>
    <row r="539" spans="1:5" ht="12.75">
      <c r="A539" s="43">
        <v>50</v>
      </c>
      <c r="B539" s="1" t="s">
        <v>915</v>
      </c>
      <c r="C539" s="1" t="s">
        <v>978</v>
      </c>
      <c r="D539" s="168">
        <v>-10427.13</v>
      </c>
      <c r="E539" s="214" t="s">
        <v>904</v>
      </c>
    </row>
    <row r="540" spans="1:5" ht="12.75">
      <c r="A540" s="43">
        <v>51</v>
      </c>
      <c r="B540" s="1" t="s">
        <v>916</v>
      </c>
      <c r="C540" s="1" t="s">
        <v>978</v>
      </c>
      <c r="D540" s="168">
        <v>-8937.54</v>
      </c>
      <c r="E540" s="214" t="s">
        <v>904</v>
      </c>
    </row>
    <row r="541" spans="1:5" ht="12.75">
      <c r="A541" s="43">
        <v>52</v>
      </c>
      <c r="B541" s="1" t="s">
        <v>916</v>
      </c>
      <c r="C541" s="1" t="s">
        <v>510</v>
      </c>
      <c r="D541" s="168">
        <v>7573.64</v>
      </c>
      <c r="E541" s="201">
        <v>43867</v>
      </c>
    </row>
    <row r="542" spans="1:5" ht="12.75">
      <c r="A542" s="43">
        <v>53</v>
      </c>
      <c r="B542" s="1" t="s">
        <v>917</v>
      </c>
      <c r="C542" s="1" t="s">
        <v>978</v>
      </c>
      <c r="D542" s="168">
        <v>-14895.9</v>
      </c>
      <c r="E542" s="214" t="s">
        <v>904</v>
      </c>
    </row>
    <row r="543" spans="1:5" ht="12.75">
      <c r="A543" s="43">
        <v>54</v>
      </c>
      <c r="B543" s="1" t="s">
        <v>983</v>
      </c>
      <c r="C543" s="27" t="s">
        <v>956</v>
      </c>
      <c r="D543" s="168">
        <v>3798</v>
      </c>
      <c r="E543" s="201">
        <v>44162</v>
      </c>
    </row>
    <row r="544" spans="1:5" ht="12.75">
      <c r="A544" s="43">
        <v>55</v>
      </c>
      <c r="B544" s="1" t="s">
        <v>918</v>
      </c>
      <c r="C544" s="1" t="s">
        <v>978</v>
      </c>
      <c r="D544" s="168">
        <v>-11916.72</v>
      </c>
      <c r="E544" s="213" t="s">
        <v>904</v>
      </c>
    </row>
    <row r="545" spans="1:5" ht="12.75">
      <c r="A545" s="43">
        <v>56</v>
      </c>
      <c r="B545" s="1" t="s">
        <v>918</v>
      </c>
      <c r="C545" s="1" t="s">
        <v>510</v>
      </c>
      <c r="D545" s="168">
        <v>14050.2</v>
      </c>
      <c r="E545" s="208">
        <v>43873</v>
      </c>
    </row>
    <row r="546" spans="1:5" ht="12.75">
      <c r="A546" s="43">
        <v>57</v>
      </c>
      <c r="B546" s="1" t="s">
        <v>919</v>
      </c>
      <c r="C546" s="1" t="s">
        <v>978</v>
      </c>
      <c r="D546" s="168">
        <v>-11916.72</v>
      </c>
      <c r="E546" s="213" t="s">
        <v>904</v>
      </c>
    </row>
    <row r="547" spans="1:5" ht="12.75">
      <c r="A547" s="43">
        <v>58</v>
      </c>
      <c r="B547" s="1" t="s">
        <v>920</v>
      </c>
      <c r="C547" s="1" t="s">
        <v>978</v>
      </c>
      <c r="D547" s="168">
        <v>-11375.7</v>
      </c>
      <c r="E547" s="213" t="s">
        <v>904</v>
      </c>
    </row>
    <row r="548" spans="1:5" ht="12.75">
      <c r="A548" s="43">
        <v>59</v>
      </c>
      <c r="B548" s="1" t="s">
        <v>921</v>
      </c>
      <c r="C548" s="1" t="s">
        <v>978</v>
      </c>
      <c r="D548" s="168">
        <v>-8937.54</v>
      </c>
      <c r="E548" s="213" t="s">
        <v>904</v>
      </c>
    </row>
    <row r="549" spans="1:5" ht="12.75">
      <c r="A549" s="43">
        <v>60</v>
      </c>
      <c r="B549" s="1" t="s">
        <v>922</v>
      </c>
      <c r="C549" s="1" t="s">
        <v>978</v>
      </c>
      <c r="D549" s="168">
        <v>-4875.3</v>
      </c>
      <c r="E549" s="213" t="s">
        <v>904</v>
      </c>
    </row>
    <row r="550" spans="1:5" ht="12.75">
      <c r="A550" s="43">
        <v>61</v>
      </c>
      <c r="B550" s="1" t="s">
        <v>827</v>
      </c>
      <c r="C550" s="1" t="s">
        <v>978</v>
      </c>
      <c r="D550" s="168">
        <v>-11375.7</v>
      </c>
      <c r="E550" s="213" t="s">
        <v>904</v>
      </c>
    </row>
    <row r="551" spans="1:5" ht="12.75">
      <c r="A551" s="43">
        <v>62</v>
      </c>
      <c r="B551" s="1" t="s">
        <v>525</v>
      </c>
      <c r="C551" s="27" t="s">
        <v>954</v>
      </c>
      <c r="D551" s="168">
        <f>264783.11+111679.82</f>
        <v>376462.93</v>
      </c>
      <c r="E551" s="208">
        <v>43983</v>
      </c>
    </row>
    <row r="552" spans="1:5" ht="12.75">
      <c r="A552" s="43">
        <v>63</v>
      </c>
      <c r="B552" s="1" t="s">
        <v>984</v>
      </c>
      <c r="C552" s="27" t="s">
        <v>956</v>
      </c>
      <c r="D552" s="168">
        <v>6330</v>
      </c>
      <c r="E552" s="208">
        <v>44162</v>
      </c>
    </row>
    <row r="553" spans="1:5" ht="12.75">
      <c r="A553" s="43">
        <v>64</v>
      </c>
      <c r="B553" s="1" t="s">
        <v>985</v>
      </c>
      <c r="C553" s="27" t="s">
        <v>956</v>
      </c>
      <c r="D553" s="168">
        <v>6330</v>
      </c>
      <c r="E553" s="208">
        <v>44162</v>
      </c>
    </row>
    <row r="554" spans="1:5" ht="12.75">
      <c r="A554" s="43">
        <v>65</v>
      </c>
      <c r="B554" s="1" t="s">
        <v>986</v>
      </c>
      <c r="C554" s="27" t="s">
        <v>956</v>
      </c>
      <c r="D554" s="168">
        <v>6330</v>
      </c>
      <c r="E554" s="208">
        <v>44162</v>
      </c>
    </row>
    <row r="555" spans="1:5" ht="12.75">
      <c r="A555" s="43">
        <v>66</v>
      </c>
      <c r="B555" s="1" t="s">
        <v>923</v>
      </c>
      <c r="C555" s="1" t="s">
        <v>978</v>
      </c>
      <c r="D555" s="168">
        <v>-8125.5</v>
      </c>
      <c r="E555" s="213" t="s">
        <v>904</v>
      </c>
    </row>
    <row r="556" spans="1:5" ht="12.75">
      <c r="A556" s="43">
        <v>67</v>
      </c>
      <c r="B556" s="1" t="s">
        <v>923</v>
      </c>
      <c r="C556" s="1" t="s">
        <v>510</v>
      </c>
      <c r="D556" s="168">
        <v>7573.64</v>
      </c>
      <c r="E556" s="208">
        <v>43867</v>
      </c>
    </row>
    <row r="557" spans="1:5" ht="12.75">
      <c r="A557" s="43">
        <v>68</v>
      </c>
      <c r="B557" s="1" t="s">
        <v>924</v>
      </c>
      <c r="C557" s="1" t="s">
        <v>978</v>
      </c>
      <c r="D557" s="168">
        <v>-8125.5</v>
      </c>
      <c r="E557" s="213" t="s">
        <v>904</v>
      </c>
    </row>
    <row r="558" spans="1:5" ht="12.75">
      <c r="A558" s="43">
        <v>69</v>
      </c>
      <c r="B558" s="1" t="s">
        <v>925</v>
      </c>
      <c r="C558" s="1" t="s">
        <v>978</v>
      </c>
      <c r="D558" s="168">
        <v>-9750.6</v>
      </c>
      <c r="E558" s="213" t="s">
        <v>904</v>
      </c>
    </row>
    <row r="559" spans="1:5" ht="12.75">
      <c r="A559" s="43">
        <v>70</v>
      </c>
      <c r="B559" s="1" t="s">
        <v>926</v>
      </c>
      <c r="C559" s="1" t="s">
        <v>978</v>
      </c>
      <c r="D559" s="168">
        <v>-6500.4</v>
      </c>
      <c r="E559" s="213" t="s">
        <v>904</v>
      </c>
    </row>
    <row r="560" spans="1:5" ht="12.75">
      <c r="A560" s="43">
        <v>71</v>
      </c>
      <c r="B560" s="1" t="s">
        <v>987</v>
      </c>
      <c r="C560" s="27" t="s">
        <v>956</v>
      </c>
      <c r="D560" s="168">
        <v>2532</v>
      </c>
      <c r="E560" s="208">
        <v>44028</v>
      </c>
    </row>
    <row r="561" spans="1:5" ht="12.75">
      <c r="A561" s="43">
        <v>72</v>
      </c>
      <c r="B561" s="1" t="s">
        <v>740</v>
      </c>
      <c r="C561" s="27" t="s">
        <v>956</v>
      </c>
      <c r="D561" s="168">
        <v>3798</v>
      </c>
      <c r="E561" s="208">
        <v>44159</v>
      </c>
    </row>
    <row r="562" spans="1:5" ht="12.75">
      <c r="A562" s="43">
        <v>73</v>
      </c>
      <c r="B562" s="1" t="s">
        <v>988</v>
      </c>
      <c r="C562" s="27" t="s">
        <v>956</v>
      </c>
      <c r="D562" s="168">
        <v>2532</v>
      </c>
      <c r="E562" s="208">
        <v>44186</v>
      </c>
    </row>
    <row r="563" spans="1:5" ht="12.75">
      <c r="A563" s="43">
        <v>74</v>
      </c>
      <c r="B563" s="1" t="s">
        <v>989</v>
      </c>
      <c r="C563" s="27" t="s">
        <v>956</v>
      </c>
      <c r="D563" s="168">
        <f>5064</f>
        <v>5064</v>
      </c>
      <c r="E563" s="208">
        <v>44176</v>
      </c>
    </row>
    <row r="564" spans="1:5" ht="12.75">
      <c r="A564" s="43">
        <v>75</v>
      </c>
      <c r="B564" s="1" t="s">
        <v>990</v>
      </c>
      <c r="C564" s="27" t="s">
        <v>956</v>
      </c>
      <c r="D564" s="168">
        <v>6330</v>
      </c>
      <c r="E564" s="208">
        <v>44162</v>
      </c>
    </row>
    <row r="565" spans="1:5" ht="12.75">
      <c r="A565" s="43">
        <v>76</v>
      </c>
      <c r="B565" s="1" t="s">
        <v>991</v>
      </c>
      <c r="C565" s="1" t="s">
        <v>510</v>
      </c>
      <c r="D565" s="168">
        <v>7573.64</v>
      </c>
      <c r="E565" s="208">
        <v>43867</v>
      </c>
    </row>
    <row r="566" spans="1:5" ht="12.75">
      <c r="A566" s="43">
        <v>77</v>
      </c>
      <c r="B566" s="1" t="s">
        <v>529</v>
      </c>
      <c r="C566" s="27" t="s">
        <v>956</v>
      </c>
      <c r="D566" s="168">
        <v>8297.36</v>
      </c>
      <c r="E566" s="208">
        <v>44033</v>
      </c>
    </row>
    <row r="567" spans="1:5" ht="12.75">
      <c r="A567" s="43">
        <v>78</v>
      </c>
      <c r="B567" s="1" t="s">
        <v>841</v>
      </c>
      <c r="C567" s="1" t="s">
        <v>954</v>
      </c>
      <c r="D567" s="168">
        <v>128812.19</v>
      </c>
      <c r="E567" s="208">
        <v>44011</v>
      </c>
    </row>
    <row r="568" spans="1:5" ht="12.75">
      <c r="A568" s="43">
        <v>79</v>
      </c>
      <c r="B568" s="1" t="s">
        <v>841</v>
      </c>
      <c r="C568" s="27" t="s">
        <v>956</v>
      </c>
      <c r="D568" s="168">
        <v>6330</v>
      </c>
      <c r="E568" s="208">
        <v>44043</v>
      </c>
    </row>
    <row r="569" spans="1:5" ht="12.75">
      <c r="A569" s="43">
        <v>80</v>
      </c>
      <c r="B569" s="1" t="s">
        <v>841</v>
      </c>
      <c r="C569" s="27" t="s">
        <v>956</v>
      </c>
      <c r="D569" s="168">
        <v>6330</v>
      </c>
      <c r="E569" s="208">
        <v>44159</v>
      </c>
    </row>
    <row r="570" spans="1:5" ht="12.75">
      <c r="A570" s="43">
        <v>81</v>
      </c>
      <c r="B570" s="1" t="s">
        <v>992</v>
      </c>
      <c r="C570" s="27" t="s">
        <v>956</v>
      </c>
      <c r="D570" s="168">
        <v>6330</v>
      </c>
      <c r="E570" s="208">
        <v>44174</v>
      </c>
    </row>
    <row r="571" spans="1:5" ht="12.75">
      <c r="A571" s="43">
        <v>82</v>
      </c>
      <c r="B571" s="1" t="s">
        <v>624</v>
      </c>
      <c r="C571" s="27" t="s">
        <v>956</v>
      </c>
      <c r="D571" s="168">
        <v>6330</v>
      </c>
      <c r="E571" s="208">
        <v>44033</v>
      </c>
    </row>
    <row r="572" spans="1:5" ht="12.75">
      <c r="A572" s="43">
        <v>83</v>
      </c>
      <c r="B572" s="1" t="s">
        <v>624</v>
      </c>
      <c r="C572" s="27" t="s">
        <v>573</v>
      </c>
      <c r="D572" s="168">
        <f>11963.42+81158.58</f>
        <v>93122</v>
      </c>
      <c r="E572" s="208">
        <v>44089</v>
      </c>
    </row>
    <row r="573" spans="1:5" ht="12.75">
      <c r="A573" s="43">
        <v>84</v>
      </c>
      <c r="B573" s="1" t="s">
        <v>532</v>
      </c>
      <c r="C573" s="27" t="s">
        <v>970</v>
      </c>
      <c r="D573" s="168">
        <v>281580</v>
      </c>
      <c r="E573" s="208">
        <v>44104</v>
      </c>
    </row>
    <row r="574" spans="1:5" ht="12.75">
      <c r="A574" s="43">
        <v>85</v>
      </c>
      <c r="B574" s="1" t="s">
        <v>532</v>
      </c>
      <c r="C574" s="27" t="s">
        <v>993</v>
      </c>
      <c r="D574" s="168">
        <f>(59732+298.66)</f>
        <v>60030.66</v>
      </c>
      <c r="E574" s="208">
        <v>44144</v>
      </c>
    </row>
    <row r="575" spans="1:5" ht="12.75">
      <c r="A575" s="43">
        <v>86</v>
      </c>
      <c r="B575" s="1" t="s">
        <v>994</v>
      </c>
      <c r="C575" s="27" t="s">
        <v>956</v>
      </c>
      <c r="D575" s="168">
        <v>5064</v>
      </c>
      <c r="E575" s="208">
        <v>44195</v>
      </c>
    </row>
    <row r="576" spans="1:5" ht="12.75">
      <c r="A576" s="43">
        <v>87</v>
      </c>
      <c r="B576" s="1" t="s">
        <v>846</v>
      </c>
      <c r="C576" s="1" t="s">
        <v>995</v>
      </c>
      <c r="D576" s="168">
        <v>593846.99</v>
      </c>
      <c r="E576" s="213">
        <v>43983</v>
      </c>
    </row>
    <row r="577" spans="1:5" ht="12.75">
      <c r="A577" s="43">
        <v>88</v>
      </c>
      <c r="B577" s="1" t="s">
        <v>996</v>
      </c>
      <c r="C577" s="27" t="s">
        <v>956</v>
      </c>
      <c r="D577" s="168">
        <v>6330</v>
      </c>
      <c r="E577" s="208">
        <v>44174</v>
      </c>
    </row>
    <row r="578" spans="1:5" ht="12.75">
      <c r="A578" s="43">
        <v>89</v>
      </c>
      <c r="B578" s="1" t="s">
        <v>997</v>
      </c>
      <c r="C578" s="27" t="s">
        <v>956</v>
      </c>
      <c r="D578" s="168">
        <f>5064</f>
        <v>5064</v>
      </c>
      <c r="E578" s="208">
        <v>44176</v>
      </c>
    </row>
    <row r="579" spans="1:5" ht="12.75">
      <c r="A579" s="43">
        <v>90</v>
      </c>
      <c r="B579" s="1" t="s">
        <v>998</v>
      </c>
      <c r="C579" s="27" t="s">
        <v>956</v>
      </c>
      <c r="D579" s="168">
        <v>6330</v>
      </c>
      <c r="E579" s="208">
        <v>44174</v>
      </c>
    </row>
    <row r="580" spans="1:5" ht="12.75">
      <c r="A580" s="43">
        <v>91</v>
      </c>
      <c r="B580" s="1" t="s">
        <v>999</v>
      </c>
      <c r="C580" s="27" t="s">
        <v>956</v>
      </c>
      <c r="D580" s="168">
        <v>5064</v>
      </c>
      <c r="E580" s="208">
        <v>44195</v>
      </c>
    </row>
    <row r="581" spans="1:5" ht="12.75">
      <c r="A581" s="43">
        <v>92</v>
      </c>
      <c r="B581" s="1" t="s">
        <v>749</v>
      </c>
      <c r="C581" s="27" t="s">
        <v>965</v>
      </c>
      <c r="D581" s="168">
        <f>159829.18</f>
        <v>159829.18</v>
      </c>
      <c r="E581" s="208">
        <v>44091</v>
      </c>
    </row>
    <row r="582" spans="1:5" ht="12.75">
      <c r="A582" s="43">
        <v>93</v>
      </c>
      <c r="B582" s="1" t="s">
        <v>1000</v>
      </c>
      <c r="C582" s="27" t="s">
        <v>956</v>
      </c>
      <c r="D582" s="168">
        <v>6330</v>
      </c>
      <c r="E582" s="208">
        <v>44162</v>
      </c>
    </row>
    <row r="583" spans="1:5" ht="12.75">
      <c r="A583" s="43">
        <v>94</v>
      </c>
      <c r="B583" s="1" t="s">
        <v>1001</v>
      </c>
      <c r="C583" s="27" t="s">
        <v>956</v>
      </c>
      <c r="D583" s="168">
        <f>5064</f>
        <v>5064</v>
      </c>
      <c r="E583" s="208">
        <v>44176</v>
      </c>
    </row>
    <row r="584" spans="1:5" ht="12.75">
      <c r="A584" s="43">
        <v>95</v>
      </c>
      <c r="B584" s="1" t="s">
        <v>1001</v>
      </c>
      <c r="C584" s="27" t="s">
        <v>956</v>
      </c>
      <c r="D584" s="168">
        <v>5064</v>
      </c>
      <c r="E584" s="208">
        <v>44186</v>
      </c>
    </row>
    <row r="585" spans="1:5" ht="12.75">
      <c r="A585" s="43">
        <v>96</v>
      </c>
      <c r="B585" s="1" t="s">
        <v>628</v>
      </c>
      <c r="C585" s="27" t="s">
        <v>573</v>
      </c>
      <c r="D585" s="168">
        <v>39260</v>
      </c>
      <c r="E585" s="208">
        <v>44089</v>
      </c>
    </row>
    <row r="586" spans="1:5" ht="12.75">
      <c r="A586" s="43">
        <v>97</v>
      </c>
      <c r="B586" s="1" t="s">
        <v>1002</v>
      </c>
      <c r="C586" s="27" t="s">
        <v>956</v>
      </c>
      <c r="D586" s="168">
        <v>5064</v>
      </c>
      <c r="E586" s="208">
        <v>44195</v>
      </c>
    </row>
    <row r="587" spans="1:5" ht="12.75">
      <c r="A587" s="43">
        <v>98</v>
      </c>
      <c r="B587" s="1" t="s">
        <v>632</v>
      </c>
      <c r="C587" s="1" t="s">
        <v>1003</v>
      </c>
      <c r="D587" s="168">
        <v>-19500</v>
      </c>
      <c r="E587" s="208">
        <v>43867</v>
      </c>
    </row>
    <row r="588" spans="1:5" ht="12.75">
      <c r="A588" s="43">
        <v>99</v>
      </c>
      <c r="B588" s="1" t="s">
        <v>632</v>
      </c>
      <c r="C588" s="27" t="s">
        <v>573</v>
      </c>
      <c r="D588" s="168">
        <v>45225</v>
      </c>
      <c r="E588" s="208">
        <v>44089</v>
      </c>
    </row>
    <row r="589" spans="1:5" ht="12.75">
      <c r="A589" s="43">
        <v>100</v>
      </c>
      <c r="B589" s="1" t="s">
        <v>929</v>
      </c>
      <c r="C589" s="1" t="s">
        <v>978</v>
      </c>
      <c r="D589" s="168">
        <v>-9750.6</v>
      </c>
      <c r="E589" s="213" t="s">
        <v>904</v>
      </c>
    </row>
    <row r="590" spans="1:5" ht="12.75">
      <c r="A590" s="43">
        <v>101</v>
      </c>
      <c r="B590" s="1" t="s">
        <v>1004</v>
      </c>
      <c r="C590" s="27" t="s">
        <v>956</v>
      </c>
      <c r="D590" s="168">
        <v>5064</v>
      </c>
      <c r="E590" s="208">
        <v>44162</v>
      </c>
    </row>
    <row r="591" spans="1:5" ht="12.75">
      <c r="A591" s="43">
        <v>102</v>
      </c>
      <c r="B591" s="1" t="s">
        <v>1005</v>
      </c>
      <c r="C591" s="27" t="s">
        <v>573</v>
      </c>
      <c r="D591" s="168">
        <f>24252.67+15007.33</f>
        <v>39260</v>
      </c>
      <c r="E591" s="208">
        <v>44089</v>
      </c>
    </row>
    <row r="592" spans="1:5" ht="12.75">
      <c r="A592" s="43">
        <v>103</v>
      </c>
      <c r="B592" s="1" t="s">
        <v>930</v>
      </c>
      <c r="C592" s="1" t="s">
        <v>978</v>
      </c>
      <c r="D592" s="168">
        <v>-6500.4</v>
      </c>
      <c r="E592" s="213" t="s">
        <v>904</v>
      </c>
    </row>
    <row r="593" spans="1:5" ht="12.75">
      <c r="A593" s="43">
        <v>104</v>
      </c>
      <c r="B593" s="1" t="s">
        <v>931</v>
      </c>
      <c r="C593" s="1" t="s">
        <v>978</v>
      </c>
      <c r="D593" s="168">
        <v>-9750.6</v>
      </c>
      <c r="E593" s="213" t="s">
        <v>904</v>
      </c>
    </row>
    <row r="594" spans="1:5" ht="12.75">
      <c r="A594" s="43">
        <v>105</v>
      </c>
      <c r="B594" s="1" t="s">
        <v>1006</v>
      </c>
      <c r="C594" s="27" t="s">
        <v>956</v>
      </c>
      <c r="D594" s="168">
        <v>2532</v>
      </c>
      <c r="E594" s="208">
        <v>44195</v>
      </c>
    </row>
    <row r="595" spans="1:5" ht="12.75">
      <c r="A595" s="43">
        <v>106</v>
      </c>
      <c r="B595" s="1" t="s">
        <v>1007</v>
      </c>
      <c r="C595" s="27" t="s">
        <v>956</v>
      </c>
      <c r="D595" s="168">
        <v>2532</v>
      </c>
      <c r="E595" s="208">
        <v>44186</v>
      </c>
    </row>
    <row r="596" spans="1:5" ht="12.75">
      <c r="A596" s="43">
        <v>107</v>
      </c>
      <c r="B596" s="1" t="s">
        <v>1008</v>
      </c>
      <c r="C596" s="27" t="s">
        <v>956</v>
      </c>
      <c r="D596" s="168">
        <v>3798</v>
      </c>
      <c r="E596" s="208">
        <v>44160</v>
      </c>
    </row>
    <row r="597" spans="1:5" ht="12.75">
      <c r="A597" s="43">
        <v>108</v>
      </c>
      <c r="B597" s="1" t="s">
        <v>932</v>
      </c>
      <c r="C597" s="1" t="s">
        <v>978</v>
      </c>
      <c r="D597" s="168">
        <v>-11375.7</v>
      </c>
      <c r="E597" s="213" t="s">
        <v>904</v>
      </c>
    </row>
    <row r="598" spans="1:5" ht="12.75">
      <c r="A598" s="43">
        <v>109</v>
      </c>
      <c r="B598" s="1" t="s">
        <v>535</v>
      </c>
      <c r="C598" s="27" t="s">
        <v>954</v>
      </c>
      <c r="D598" s="168">
        <f>316105.71+27444.29</f>
        <v>343550</v>
      </c>
      <c r="E598" s="208">
        <v>43983</v>
      </c>
    </row>
    <row r="599" spans="1:5" ht="12.75">
      <c r="A599" s="43">
        <v>110</v>
      </c>
      <c r="B599" s="1" t="s">
        <v>535</v>
      </c>
      <c r="C599" s="27" t="s">
        <v>875</v>
      </c>
      <c r="D599" s="168">
        <v>84428.92</v>
      </c>
      <c r="E599" s="208">
        <v>44049</v>
      </c>
    </row>
    <row r="600" spans="1:5" ht="12.75">
      <c r="A600" s="43">
        <v>111</v>
      </c>
      <c r="B600" s="1" t="s">
        <v>1009</v>
      </c>
      <c r="C600" s="27" t="s">
        <v>956</v>
      </c>
      <c r="D600" s="168">
        <v>6330</v>
      </c>
      <c r="E600" s="208">
        <v>44162</v>
      </c>
    </row>
    <row r="601" spans="1:5" ht="12.75">
      <c r="A601" s="43">
        <v>112</v>
      </c>
      <c r="B601" s="1" t="s">
        <v>1010</v>
      </c>
      <c r="C601" s="27" t="s">
        <v>956</v>
      </c>
      <c r="D601" s="168">
        <v>6330</v>
      </c>
      <c r="E601" s="208">
        <v>44160</v>
      </c>
    </row>
    <row r="602" spans="1:5" ht="12.75">
      <c r="A602" s="43">
        <v>113</v>
      </c>
      <c r="B602" s="1" t="s">
        <v>1011</v>
      </c>
      <c r="C602" s="27" t="s">
        <v>956</v>
      </c>
      <c r="D602" s="168">
        <v>5064</v>
      </c>
      <c r="E602" s="208">
        <v>44195</v>
      </c>
    </row>
    <row r="603" spans="1:5" ht="12.75">
      <c r="A603" s="43">
        <v>114</v>
      </c>
      <c r="B603" s="1" t="s">
        <v>637</v>
      </c>
      <c r="C603" s="1" t="s">
        <v>510</v>
      </c>
      <c r="D603" s="168">
        <v>64456.37</v>
      </c>
      <c r="E603" s="208">
        <v>43957</v>
      </c>
    </row>
    <row r="604" spans="1:5" ht="12.75">
      <c r="A604" s="43">
        <v>115</v>
      </c>
      <c r="B604" s="1" t="s">
        <v>933</v>
      </c>
      <c r="C604" s="1" t="s">
        <v>978</v>
      </c>
      <c r="D604" s="168">
        <v>-16251</v>
      </c>
      <c r="E604" s="213" t="s">
        <v>904</v>
      </c>
    </row>
    <row r="605" spans="1:5" ht="12.75">
      <c r="A605" s="43">
        <v>116</v>
      </c>
      <c r="B605" s="1" t="s">
        <v>1012</v>
      </c>
      <c r="C605" s="27" t="s">
        <v>956</v>
      </c>
      <c r="D605" s="168">
        <v>2532</v>
      </c>
      <c r="E605" s="208">
        <v>44195</v>
      </c>
    </row>
    <row r="606" spans="1:5" ht="12.75">
      <c r="A606" s="43">
        <v>117</v>
      </c>
      <c r="B606" s="1" t="s">
        <v>934</v>
      </c>
      <c r="C606" s="1" t="s">
        <v>978</v>
      </c>
      <c r="D606" s="168">
        <v>-11375.7</v>
      </c>
      <c r="E606" s="213" t="s">
        <v>904</v>
      </c>
    </row>
    <row r="607" spans="1:5" ht="12.75">
      <c r="A607" s="43">
        <v>118</v>
      </c>
      <c r="B607" s="1" t="s">
        <v>935</v>
      </c>
      <c r="C607" s="1" t="s">
        <v>978</v>
      </c>
      <c r="D607" s="168">
        <v>-19501.2</v>
      </c>
      <c r="E607" s="213" t="s">
        <v>904</v>
      </c>
    </row>
    <row r="608" spans="1:5" ht="12.75">
      <c r="A608" s="43">
        <v>119</v>
      </c>
      <c r="B608" s="1" t="s">
        <v>936</v>
      </c>
      <c r="C608" s="1" t="s">
        <v>978</v>
      </c>
      <c r="D608" s="168">
        <v>-8125.5</v>
      </c>
      <c r="E608" s="213" t="s">
        <v>904</v>
      </c>
    </row>
    <row r="609" spans="1:5" ht="12.75">
      <c r="A609" s="43">
        <v>120</v>
      </c>
      <c r="B609" s="1" t="s">
        <v>937</v>
      </c>
      <c r="C609" s="1" t="s">
        <v>978</v>
      </c>
      <c r="D609" s="168">
        <v>-13000.8</v>
      </c>
      <c r="E609" s="213" t="s">
        <v>904</v>
      </c>
    </row>
    <row r="610" spans="1:5" ht="12.75">
      <c r="A610" s="43">
        <v>121</v>
      </c>
      <c r="B610" s="1" t="s">
        <v>938</v>
      </c>
      <c r="C610" s="1" t="s">
        <v>978</v>
      </c>
      <c r="D610" s="168">
        <v>-8125.5</v>
      </c>
      <c r="E610" s="213" t="s">
        <v>904</v>
      </c>
    </row>
    <row r="611" spans="1:5" ht="12.75">
      <c r="A611" s="43">
        <v>122</v>
      </c>
      <c r="B611" s="1" t="s">
        <v>1013</v>
      </c>
      <c r="C611" s="1" t="s">
        <v>510</v>
      </c>
      <c r="D611" s="168">
        <v>7573.64</v>
      </c>
      <c r="E611" s="208">
        <v>43867</v>
      </c>
    </row>
    <row r="612" spans="1:5" ht="12.75">
      <c r="A612" s="43">
        <v>123</v>
      </c>
      <c r="B612" s="1" t="s">
        <v>1014</v>
      </c>
      <c r="C612" s="27" t="s">
        <v>956</v>
      </c>
      <c r="D612" s="168">
        <v>5064</v>
      </c>
      <c r="E612" s="208">
        <v>44195</v>
      </c>
    </row>
    <row r="613" spans="1:5" ht="12.75">
      <c r="A613" s="43">
        <v>124</v>
      </c>
      <c r="B613" s="1" t="s">
        <v>1015</v>
      </c>
      <c r="C613" s="27" t="s">
        <v>956</v>
      </c>
      <c r="D613" s="168">
        <v>2532</v>
      </c>
      <c r="E613" s="208">
        <v>44186</v>
      </c>
    </row>
    <row r="614" spans="1:5" ht="12.75">
      <c r="A614" s="43">
        <v>125</v>
      </c>
      <c r="B614" s="1" t="s">
        <v>756</v>
      </c>
      <c r="C614" s="27" t="s">
        <v>510</v>
      </c>
      <c r="D614" s="168">
        <f>13628.28+7916.71</f>
        <v>21544.99</v>
      </c>
      <c r="E614" s="208">
        <v>43900</v>
      </c>
    </row>
    <row r="615" spans="1:5" ht="12.75">
      <c r="A615" s="43">
        <v>126</v>
      </c>
      <c r="B615" s="1" t="s">
        <v>756</v>
      </c>
      <c r="C615" s="27" t="s">
        <v>956</v>
      </c>
      <c r="D615" s="168">
        <v>6330</v>
      </c>
      <c r="E615" s="208">
        <v>44159</v>
      </c>
    </row>
    <row r="616" spans="1:5" ht="12.75">
      <c r="A616" s="43">
        <v>127</v>
      </c>
      <c r="B616" s="1" t="s">
        <v>1016</v>
      </c>
      <c r="C616" s="27" t="s">
        <v>956</v>
      </c>
      <c r="D616" s="168">
        <v>6330</v>
      </c>
      <c r="E616" s="208">
        <v>44174</v>
      </c>
    </row>
    <row r="617" spans="1:5" ht="12.75">
      <c r="A617" s="43">
        <v>128</v>
      </c>
      <c r="B617" s="1" t="s">
        <v>1017</v>
      </c>
      <c r="C617" s="27" t="s">
        <v>956</v>
      </c>
      <c r="D617" s="168">
        <v>3798</v>
      </c>
      <c r="E617" s="208">
        <v>44160</v>
      </c>
    </row>
    <row r="618" spans="1:5" ht="12.75">
      <c r="A618" s="43">
        <v>129</v>
      </c>
      <c r="B618" s="1" t="s">
        <v>867</v>
      </c>
      <c r="C618" s="27" t="s">
        <v>573</v>
      </c>
      <c r="D618" s="168">
        <v>96462</v>
      </c>
      <c r="E618" s="208">
        <v>44089</v>
      </c>
    </row>
    <row r="619" spans="1:5" ht="12.75">
      <c r="A619" s="43">
        <v>130</v>
      </c>
      <c r="B619" s="1" t="s">
        <v>1018</v>
      </c>
      <c r="C619" s="27" t="s">
        <v>875</v>
      </c>
      <c r="D619" s="168">
        <f>95453.23+86451.21</f>
        <v>181904.44</v>
      </c>
      <c r="E619" s="208">
        <v>44049</v>
      </c>
    </row>
    <row r="620" spans="1:5" ht="12.75">
      <c r="A620" s="43">
        <v>131</v>
      </c>
      <c r="B620" s="1" t="s">
        <v>1019</v>
      </c>
      <c r="C620" s="27" t="s">
        <v>1020</v>
      </c>
      <c r="D620" s="168">
        <v>82885.74</v>
      </c>
      <c r="E620" s="208">
        <v>44049</v>
      </c>
    </row>
    <row r="621" spans="1:5" ht="12.75">
      <c r="A621" s="43">
        <v>132</v>
      </c>
      <c r="B621" s="1" t="s">
        <v>761</v>
      </c>
      <c r="C621" s="27" t="s">
        <v>956</v>
      </c>
      <c r="D621" s="168">
        <v>5064</v>
      </c>
      <c r="E621" s="208">
        <v>44159</v>
      </c>
    </row>
    <row r="622" spans="1:5" ht="12.75">
      <c r="A622" s="43">
        <v>133</v>
      </c>
      <c r="B622" s="1" t="s">
        <v>1021</v>
      </c>
      <c r="C622" s="27" t="s">
        <v>956</v>
      </c>
      <c r="D622" s="168">
        <v>5064</v>
      </c>
      <c r="E622" s="208">
        <v>44160</v>
      </c>
    </row>
    <row r="623" spans="1:5" ht="12.75">
      <c r="A623" s="43">
        <v>134</v>
      </c>
      <c r="B623" s="1" t="s">
        <v>766</v>
      </c>
      <c r="C623" s="27" t="s">
        <v>1022</v>
      </c>
      <c r="D623" s="168">
        <v>2682.05</v>
      </c>
      <c r="E623" s="208">
        <v>44061</v>
      </c>
    </row>
    <row r="624" spans="1:5" ht="12.75">
      <c r="A624" s="43">
        <v>135</v>
      </c>
      <c r="B624" s="1" t="s">
        <v>1023</v>
      </c>
      <c r="C624" s="27" t="s">
        <v>956</v>
      </c>
      <c r="D624" s="168">
        <v>5064</v>
      </c>
      <c r="E624" s="208">
        <v>44195</v>
      </c>
    </row>
    <row r="625" spans="1:5" ht="12.75">
      <c r="A625" s="43">
        <v>136</v>
      </c>
      <c r="B625" s="27" t="s">
        <v>771</v>
      </c>
      <c r="C625" s="27" t="s">
        <v>510</v>
      </c>
      <c r="D625" s="168">
        <v>25448.81</v>
      </c>
      <c r="E625" s="212">
        <v>43892</v>
      </c>
    </row>
    <row r="626" spans="1:5" ht="12.75">
      <c r="A626" s="43">
        <v>137</v>
      </c>
      <c r="B626" s="1" t="s">
        <v>1024</v>
      </c>
      <c r="C626" s="27" t="s">
        <v>956</v>
      </c>
      <c r="D626" s="168">
        <v>3798</v>
      </c>
      <c r="E626" s="208">
        <v>44186</v>
      </c>
    </row>
    <row r="627" spans="1:5" ht="12.75">
      <c r="A627" s="43">
        <v>138</v>
      </c>
      <c r="B627" s="1" t="s">
        <v>870</v>
      </c>
      <c r="C627" s="27" t="s">
        <v>956</v>
      </c>
      <c r="D627" s="168">
        <v>5064</v>
      </c>
      <c r="E627" s="208">
        <v>44159</v>
      </c>
    </row>
    <row r="628" spans="1:5" ht="12.75">
      <c r="A628" s="43">
        <v>139</v>
      </c>
      <c r="B628" s="1" t="s">
        <v>541</v>
      </c>
      <c r="C628" s="1" t="s">
        <v>1025</v>
      </c>
      <c r="D628" s="168">
        <v>80080.13</v>
      </c>
      <c r="E628" s="208">
        <v>43867</v>
      </c>
    </row>
    <row r="629" spans="1:5" ht="12.75">
      <c r="A629" s="43">
        <v>140</v>
      </c>
      <c r="B629" s="1" t="s">
        <v>541</v>
      </c>
      <c r="C629" s="1" t="s">
        <v>995</v>
      </c>
      <c r="D629" s="168">
        <v>69388.8</v>
      </c>
      <c r="E629" s="208">
        <v>43997</v>
      </c>
    </row>
    <row r="630" spans="1:5" ht="12.75">
      <c r="A630" s="43">
        <v>141</v>
      </c>
      <c r="B630" s="1" t="s">
        <v>541</v>
      </c>
      <c r="C630" s="27" t="s">
        <v>573</v>
      </c>
      <c r="D630" s="168">
        <v>180602</v>
      </c>
      <c r="E630" s="208">
        <v>44089</v>
      </c>
    </row>
    <row r="631" spans="1:5" ht="12.75">
      <c r="A631" s="43">
        <v>142</v>
      </c>
      <c r="B631" s="1" t="s">
        <v>541</v>
      </c>
      <c r="C631" s="27" t="s">
        <v>956</v>
      </c>
      <c r="D631" s="168">
        <v>6330</v>
      </c>
      <c r="E631" s="208">
        <v>44159</v>
      </c>
    </row>
    <row r="632" spans="1:5" ht="12.75">
      <c r="A632" s="43">
        <v>143</v>
      </c>
      <c r="B632" s="1" t="s">
        <v>1026</v>
      </c>
      <c r="C632" s="27" t="s">
        <v>956</v>
      </c>
      <c r="D632" s="168">
        <f>5064</f>
        <v>5064</v>
      </c>
      <c r="E632" s="208">
        <v>44176</v>
      </c>
    </row>
    <row r="633" spans="1:5" ht="12.75">
      <c r="A633" s="43">
        <v>144</v>
      </c>
      <c r="B633" s="1" t="s">
        <v>1027</v>
      </c>
      <c r="C633" s="27" t="s">
        <v>956</v>
      </c>
      <c r="D633" s="168">
        <v>5064</v>
      </c>
      <c r="E633" s="208">
        <v>44186</v>
      </c>
    </row>
    <row r="634" spans="1:5" ht="12.75">
      <c r="A634" s="43">
        <v>145</v>
      </c>
      <c r="B634" s="1" t="s">
        <v>665</v>
      </c>
      <c r="C634" s="1" t="s">
        <v>1028</v>
      </c>
      <c r="D634" s="168">
        <v>140247.02</v>
      </c>
      <c r="E634" s="208">
        <v>43952</v>
      </c>
    </row>
    <row r="635" spans="1:5" ht="12.75">
      <c r="A635" s="43">
        <v>146</v>
      </c>
      <c r="B635" s="1" t="s">
        <v>665</v>
      </c>
      <c r="C635" s="27" t="s">
        <v>573</v>
      </c>
      <c r="D635" s="168">
        <f>6993.55+38231.45</f>
        <v>45225</v>
      </c>
      <c r="E635" s="208">
        <v>44089</v>
      </c>
    </row>
    <row r="636" spans="1:5" ht="12.75">
      <c r="A636" s="43">
        <v>147</v>
      </c>
      <c r="B636" s="1" t="s">
        <v>1029</v>
      </c>
      <c r="C636" s="27" t="s">
        <v>956</v>
      </c>
      <c r="D636" s="168">
        <f>5064</f>
        <v>5064</v>
      </c>
      <c r="E636" s="208">
        <v>44176</v>
      </c>
    </row>
    <row r="637" spans="1:5" ht="12.75">
      <c r="A637" s="43">
        <v>148</v>
      </c>
      <c r="B637" s="1" t="s">
        <v>1030</v>
      </c>
      <c r="C637" s="27" t="s">
        <v>956</v>
      </c>
      <c r="D637" s="168">
        <v>6330</v>
      </c>
      <c r="E637" s="208">
        <v>44162</v>
      </c>
    </row>
    <row r="638" spans="1:5" ht="12.75">
      <c r="A638" s="43">
        <v>149</v>
      </c>
      <c r="B638" s="1" t="s">
        <v>666</v>
      </c>
      <c r="C638" s="27" t="s">
        <v>573</v>
      </c>
      <c r="D638" s="168">
        <f>21768.56+21040.44</f>
        <v>42809</v>
      </c>
      <c r="E638" s="208">
        <v>44166</v>
      </c>
    </row>
    <row r="639" spans="1:5" ht="12.75">
      <c r="A639" s="43">
        <v>150</v>
      </c>
      <c r="B639" s="1" t="s">
        <v>667</v>
      </c>
      <c r="C639" s="27" t="s">
        <v>573</v>
      </c>
      <c r="D639" s="168">
        <f>29111.28+13697.72</f>
        <v>42809</v>
      </c>
      <c r="E639" s="208">
        <v>44166</v>
      </c>
    </row>
    <row r="640" spans="1:5" ht="12.75">
      <c r="A640" s="43">
        <v>151</v>
      </c>
      <c r="B640" s="1" t="s">
        <v>668</v>
      </c>
      <c r="C640" s="27" t="s">
        <v>573</v>
      </c>
      <c r="D640" s="168">
        <v>42809</v>
      </c>
      <c r="E640" s="208">
        <v>44166</v>
      </c>
    </row>
    <row r="641" spans="1:5" ht="12.75">
      <c r="A641" s="43">
        <v>152</v>
      </c>
      <c r="B641" s="1" t="s">
        <v>1031</v>
      </c>
      <c r="C641" s="27" t="s">
        <v>956</v>
      </c>
      <c r="D641" s="168">
        <v>5064</v>
      </c>
      <c r="E641" s="208">
        <v>44186</v>
      </c>
    </row>
    <row r="642" spans="1:5" ht="12.75">
      <c r="A642" s="43">
        <v>153</v>
      </c>
      <c r="B642" s="1" t="s">
        <v>774</v>
      </c>
      <c r="C642" s="1" t="s">
        <v>1028</v>
      </c>
      <c r="D642" s="168">
        <v>68958.32</v>
      </c>
      <c r="E642" s="208">
        <v>43952</v>
      </c>
    </row>
    <row r="643" spans="1:5" ht="12.75">
      <c r="A643" s="43">
        <v>154</v>
      </c>
      <c r="B643" s="1" t="s">
        <v>774</v>
      </c>
      <c r="C643" s="27" t="s">
        <v>965</v>
      </c>
      <c r="D643" s="168">
        <f>259638.11+317479.63</f>
        <v>577117.74</v>
      </c>
      <c r="E643" s="208">
        <v>44075</v>
      </c>
    </row>
    <row r="644" spans="1:5" ht="12.75">
      <c r="A644" s="43">
        <v>155</v>
      </c>
      <c r="B644" s="1" t="s">
        <v>669</v>
      </c>
      <c r="C644" s="27" t="s">
        <v>965</v>
      </c>
      <c r="D644" s="168">
        <f>55493.22+40268.42</f>
        <v>95761.64</v>
      </c>
      <c r="E644" s="208">
        <v>44075</v>
      </c>
    </row>
    <row r="645" spans="1:5" ht="12.75">
      <c r="A645" s="43">
        <v>156</v>
      </c>
      <c r="B645" s="1" t="s">
        <v>1032</v>
      </c>
      <c r="C645" s="27" t="s">
        <v>956</v>
      </c>
      <c r="D645" s="168">
        <v>5064</v>
      </c>
      <c r="E645" s="208">
        <v>44195</v>
      </c>
    </row>
    <row r="646" spans="1:5" ht="12.75">
      <c r="A646" s="43">
        <v>157</v>
      </c>
      <c r="B646" s="1" t="s">
        <v>544</v>
      </c>
      <c r="C646" s="1" t="s">
        <v>1033</v>
      </c>
      <c r="D646" s="168">
        <v>76414.86</v>
      </c>
      <c r="E646" s="208">
        <v>43983</v>
      </c>
    </row>
    <row r="647" spans="1:5" ht="12.75">
      <c r="A647" s="43">
        <v>158</v>
      </c>
      <c r="B647" s="1" t="s">
        <v>544</v>
      </c>
      <c r="C647" s="1" t="s">
        <v>954</v>
      </c>
      <c r="D647" s="168">
        <v>255194.81</v>
      </c>
      <c r="E647" s="208">
        <v>44029</v>
      </c>
    </row>
    <row r="648" spans="1:5" ht="12.75">
      <c r="A648" s="43">
        <v>159</v>
      </c>
      <c r="B648" s="1" t="s">
        <v>1034</v>
      </c>
      <c r="C648" s="27" t="s">
        <v>956</v>
      </c>
      <c r="D648" s="168">
        <v>6330</v>
      </c>
      <c r="E648" s="208">
        <v>44174</v>
      </c>
    </row>
    <row r="649" spans="1:5" ht="12.75">
      <c r="A649" s="43">
        <v>160</v>
      </c>
      <c r="B649" s="1" t="s">
        <v>1035</v>
      </c>
      <c r="C649" s="27" t="s">
        <v>956</v>
      </c>
      <c r="D649" s="168">
        <v>5064</v>
      </c>
      <c r="E649" s="208">
        <v>44186</v>
      </c>
    </row>
    <row r="650" spans="1:5" ht="12.75">
      <c r="A650" s="43">
        <v>161</v>
      </c>
      <c r="B650" s="1" t="s">
        <v>1036</v>
      </c>
      <c r="C650" s="27" t="s">
        <v>956</v>
      </c>
      <c r="D650" s="168">
        <v>5064</v>
      </c>
      <c r="E650" s="208">
        <v>44186</v>
      </c>
    </row>
    <row r="651" spans="1:5" ht="12.75">
      <c r="A651" s="43">
        <v>162</v>
      </c>
      <c r="B651" s="1" t="s">
        <v>548</v>
      </c>
      <c r="C651" s="1" t="s">
        <v>954</v>
      </c>
      <c r="D651" s="168">
        <f>113803.47+111601.91</f>
        <v>225405.38</v>
      </c>
      <c r="E651" s="208">
        <v>43952</v>
      </c>
    </row>
    <row r="652" spans="1:5" ht="12.75">
      <c r="A652" s="43">
        <v>163</v>
      </c>
      <c r="B652" s="1" t="s">
        <v>548</v>
      </c>
      <c r="C652" s="27" t="s">
        <v>956</v>
      </c>
      <c r="D652" s="168">
        <v>7297.22</v>
      </c>
      <c r="E652" s="208">
        <v>44028</v>
      </c>
    </row>
    <row r="653" spans="1:5" ht="12.75">
      <c r="A653" s="43">
        <v>164</v>
      </c>
      <c r="B653" s="1" t="s">
        <v>671</v>
      </c>
      <c r="C653" s="27" t="s">
        <v>573</v>
      </c>
      <c r="D653" s="168">
        <v>52730</v>
      </c>
      <c r="E653" s="208">
        <v>44166</v>
      </c>
    </row>
    <row r="654" spans="1:5" ht="12.75">
      <c r="A654" s="43">
        <v>165</v>
      </c>
      <c r="B654" s="1" t="s">
        <v>1037</v>
      </c>
      <c r="C654" s="27" t="s">
        <v>956</v>
      </c>
      <c r="D654" s="168">
        <v>5064</v>
      </c>
      <c r="E654" s="208">
        <v>44186</v>
      </c>
    </row>
    <row r="655" spans="1:5" ht="12.75">
      <c r="A655" s="43">
        <v>166</v>
      </c>
      <c r="B655" s="1" t="s">
        <v>877</v>
      </c>
      <c r="C655" s="1" t="s">
        <v>970</v>
      </c>
      <c r="D655" s="168">
        <v>127494.64</v>
      </c>
      <c r="E655" s="208">
        <v>43900</v>
      </c>
    </row>
    <row r="656" spans="1:5" ht="12.75">
      <c r="A656" s="43">
        <v>167</v>
      </c>
      <c r="B656" s="1" t="s">
        <v>673</v>
      </c>
      <c r="C656" s="1" t="s">
        <v>1038</v>
      </c>
      <c r="D656" s="168">
        <f>270973.1+110229.9</f>
        <v>381203</v>
      </c>
      <c r="E656" s="208">
        <v>43949</v>
      </c>
    </row>
    <row r="657" spans="1:5" ht="12.75">
      <c r="A657" s="43">
        <v>168</v>
      </c>
      <c r="B657" s="1" t="s">
        <v>673</v>
      </c>
      <c r="C657" s="27" t="s">
        <v>956</v>
      </c>
      <c r="D657" s="168">
        <v>6330</v>
      </c>
      <c r="E657" s="208">
        <v>44159</v>
      </c>
    </row>
    <row r="658" spans="1:5" ht="12.75">
      <c r="A658" s="43">
        <v>169</v>
      </c>
      <c r="B658" s="1" t="s">
        <v>780</v>
      </c>
      <c r="C658" s="1" t="s">
        <v>1028</v>
      </c>
      <c r="D658" s="168">
        <f>45166.48+35324.44</f>
        <v>80490.92000000001</v>
      </c>
      <c r="E658" s="208">
        <v>43952</v>
      </c>
    </row>
    <row r="659" spans="1:5" ht="12.75">
      <c r="A659" s="43">
        <v>170</v>
      </c>
      <c r="B659" s="1" t="s">
        <v>1039</v>
      </c>
      <c r="C659" s="27" t="s">
        <v>956</v>
      </c>
      <c r="D659" s="168">
        <v>6330</v>
      </c>
      <c r="E659" s="208">
        <v>44160</v>
      </c>
    </row>
    <row r="660" spans="1:5" ht="12.75">
      <c r="A660" s="43">
        <v>171</v>
      </c>
      <c r="B660" s="1" t="s">
        <v>1040</v>
      </c>
      <c r="C660" s="27" t="s">
        <v>956</v>
      </c>
      <c r="D660" s="168">
        <v>6330</v>
      </c>
      <c r="E660" s="208">
        <v>44160</v>
      </c>
    </row>
    <row r="661" spans="1:5" ht="12.75">
      <c r="A661" s="43">
        <v>172</v>
      </c>
      <c r="B661" s="1" t="s">
        <v>1041</v>
      </c>
      <c r="C661" s="27" t="s">
        <v>956</v>
      </c>
      <c r="D661" s="168">
        <v>6330</v>
      </c>
      <c r="E661" s="208">
        <v>44174</v>
      </c>
    </row>
    <row r="662" spans="1:5" ht="12.75">
      <c r="A662" s="43">
        <v>173</v>
      </c>
      <c r="B662" s="1" t="s">
        <v>1042</v>
      </c>
      <c r="C662" s="27" t="s">
        <v>956</v>
      </c>
      <c r="D662" s="168">
        <v>6013.5</v>
      </c>
      <c r="E662" s="208">
        <v>44033</v>
      </c>
    </row>
    <row r="663" spans="1:5" ht="12.75">
      <c r="A663" s="43">
        <v>174</v>
      </c>
      <c r="B663" s="1" t="s">
        <v>1043</v>
      </c>
      <c r="C663" s="1" t="s">
        <v>1038</v>
      </c>
      <c r="D663" s="168">
        <f>182998.03+9976.75</f>
        <v>192974.78</v>
      </c>
      <c r="E663" s="208">
        <v>43983</v>
      </c>
    </row>
    <row r="664" spans="1:5" ht="12.75">
      <c r="A664" s="43">
        <v>175</v>
      </c>
      <c r="B664" s="1" t="s">
        <v>553</v>
      </c>
      <c r="C664" s="27" t="s">
        <v>956</v>
      </c>
      <c r="D664" s="168">
        <v>5064</v>
      </c>
      <c r="E664" s="208">
        <v>44028</v>
      </c>
    </row>
    <row r="665" spans="1:5" ht="12.75">
      <c r="A665" s="43">
        <v>176</v>
      </c>
      <c r="B665" s="1" t="s">
        <v>553</v>
      </c>
      <c r="C665" s="27" t="s">
        <v>573</v>
      </c>
      <c r="D665" s="168">
        <v>52730</v>
      </c>
      <c r="E665" s="208">
        <v>44166</v>
      </c>
    </row>
    <row r="666" spans="1:5" ht="12.75">
      <c r="A666" s="43">
        <v>177</v>
      </c>
      <c r="B666" s="1" t="s">
        <v>1044</v>
      </c>
      <c r="C666" s="27" t="s">
        <v>956</v>
      </c>
      <c r="D666" s="168">
        <v>6330</v>
      </c>
      <c r="E666" s="208">
        <v>44162</v>
      </c>
    </row>
    <row r="667" spans="1:5" ht="12.75">
      <c r="A667" s="43">
        <v>178</v>
      </c>
      <c r="B667" s="1" t="s">
        <v>554</v>
      </c>
      <c r="C667" s="27" t="s">
        <v>970</v>
      </c>
      <c r="D667" s="168">
        <v>232504.94</v>
      </c>
      <c r="E667" s="208">
        <v>43992</v>
      </c>
    </row>
    <row r="668" spans="1:5" ht="12.75">
      <c r="A668" s="43">
        <v>179</v>
      </c>
      <c r="B668" s="1" t="s">
        <v>554</v>
      </c>
      <c r="C668" s="27" t="s">
        <v>875</v>
      </c>
      <c r="D668" s="168">
        <f>308716.19+22316</f>
        <v>331032.19</v>
      </c>
      <c r="E668" s="208">
        <v>43983</v>
      </c>
    </row>
    <row r="669" spans="1:5" ht="12.75">
      <c r="A669" s="43">
        <v>180</v>
      </c>
      <c r="B669" s="1" t="s">
        <v>885</v>
      </c>
      <c r="C669" s="27" t="s">
        <v>875</v>
      </c>
      <c r="D669" s="168">
        <v>171141.14</v>
      </c>
      <c r="E669" s="208">
        <v>44084</v>
      </c>
    </row>
    <row r="670" spans="1:5" ht="12.75">
      <c r="A670" s="43">
        <v>181</v>
      </c>
      <c r="B670" s="1" t="s">
        <v>885</v>
      </c>
      <c r="C670" s="27" t="s">
        <v>956</v>
      </c>
      <c r="D670" s="168">
        <v>6330</v>
      </c>
      <c r="E670" s="208">
        <v>44159</v>
      </c>
    </row>
    <row r="671" spans="1:5" ht="12.75">
      <c r="A671" s="43">
        <v>182</v>
      </c>
      <c r="B671" s="1" t="s">
        <v>1045</v>
      </c>
      <c r="C671" s="27" t="s">
        <v>956</v>
      </c>
      <c r="D671" s="168">
        <v>5064</v>
      </c>
      <c r="E671" s="208">
        <v>44186</v>
      </c>
    </row>
    <row r="672" spans="1:5" ht="12.75">
      <c r="A672" s="43">
        <v>183</v>
      </c>
      <c r="B672" s="1" t="s">
        <v>888</v>
      </c>
      <c r="C672" s="27" t="s">
        <v>954</v>
      </c>
      <c r="D672" s="168">
        <v>53088.27</v>
      </c>
      <c r="E672" s="208">
        <v>44011</v>
      </c>
    </row>
    <row r="673" spans="1:5" ht="12.75">
      <c r="A673" s="43">
        <v>184</v>
      </c>
      <c r="B673" s="1" t="s">
        <v>1046</v>
      </c>
      <c r="C673" s="27" t="s">
        <v>956</v>
      </c>
      <c r="D673" s="168">
        <v>6330</v>
      </c>
      <c r="E673" s="208">
        <v>44174</v>
      </c>
    </row>
    <row r="674" spans="1:5" ht="12.75">
      <c r="A674" s="43">
        <v>185</v>
      </c>
      <c r="B674" s="1" t="s">
        <v>1047</v>
      </c>
      <c r="C674" s="27" t="s">
        <v>956</v>
      </c>
      <c r="D674" s="168">
        <f>5064+5064</f>
        <v>10128</v>
      </c>
      <c r="E674" s="208">
        <v>44176</v>
      </c>
    </row>
    <row r="675" spans="1:5" ht="12.75">
      <c r="A675" s="43">
        <v>186</v>
      </c>
      <c r="B675" s="1" t="s">
        <v>1048</v>
      </c>
      <c r="C675" s="27" t="s">
        <v>1049</v>
      </c>
      <c r="D675" s="168">
        <v>402600</v>
      </c>
      <c r="E675" s="208">
        <v>44074</v>
      </c>
    </row>
    <row r="676" spans="1:5" ht="12.75">
      <c r="A676" s="43">
        <v>187</v>
      </c>
      <c r="B676" s="1" t="s">
        <v>1050</v>
      </c>
      <c r="C676" s="27" t="s">
        <v>956</v>
      </c>
      <c r="D676" s="168">
        <v>3798</v>
      </c>
      <c r="E676" s="208">
        <v>44159</v>
      </c>
    </row>
    <row r="677" spans="1:5" ht="12.75">
      <c r="A677" s="43">
        <v>188</v>
      </c>
      <c r="B677" s="1" t="s">
        <v>789</v>
      </c>
      <c r="C677" s="1" t="s">
        <v>510</v>
      </c>
      <c r="D677" s="168">
        <v>25873.87</v>
      </c>
      <c r="E677" s="208">
        <v>43880</v>
      </c>
    </row>
    <row r="678" spans="1:5" ht="12.75">
      <c r="A678" s="43">
        <v>189</v>
      </c>
      <c r="B678" s="1" t="s">
        <v>789</v>
      </c>
      <c r="C678" s="27" t="s">
        <v>956</v>
      </c>
      <c r="D678" s="168">
        <v>6330</v>
      </c>
      <c r="E678" s="208">
        <v>44028</v>
      </c>
    </row>
    <row r="679" spans="1:5" ht="12.75">
      <c r="A679" s="43">
        <v>190</v>
      </c>
      <c r="B679" s="1" t="s">
        <v>688</v>
      </c>
      <c r="C679" s="27" t="s">
        <v>573</v>
      </c>
      <c r="D679" s="168">
        <v>57737</v>
      </c>
      <c r="E679" s="208">
        <v>44166</v>
      </c>
    </row>
    <row r="680" spans="1:5" ht="12.75">
      <c r="A680" s="43">
        <v>191</v>
      </c>
      <c r="B680" s="1" t="s">
        <v>1051</v>
      </c>
      <c r="C680" s="27" t="s">
        <v>956</v>
      </c>
      <c r="D680" s="168">
        <v>5064</v>
      </c>
      <c r="E680" s="208">
        <v>44195</v>
      </c>
    </row>
    <row r="681" spans="1:5" ht="12.75">
      <c r="A681" s="43">
        <v>192</v>
      </c>
      <c r="B681" s="1" t="s">
        <v>1052</v>
      </c>
      <c r="C681" s="27" t="s">
        <v>956</v>
      </c>
      <c r="D681" s="168">
        <f>5064</f>
        <v>5064</v>
      </c>
      <c r="E681" s="208">
        <v>44176</v>
      </c>
    </row>
    <row r="682" spans="1:5" ht="12.75">
      <c r="A682" s="43">
        <v>193</v>
      </c>
      <c r="B682" s="1" t="s">
        <v>1053</v>
      </c>
      <c r="C682" s="27" t="s">
        <v>956</v>
      </c>
      <c r="D682" s="168">
        <v>6330</v>
      </c>
      <c r="E682" s="208">
        <v>44160</v>
      </c>
    </row>
    <row r="683" spans="1:5" ht="12.75">
      <c r="A683" s="43">
        <v>194</v>
      </c>
      <c r="B683" s="1" t="s">
        <v>790</v>
      </c>
      <c r="C683" s="27" t="s">
        <v>1054</v>
      </c>
      <c r="D683" s="168">
        <v>477871.22</v>
      </c>
      <c r="E683" s="208">
        <v>44064</v>
      </c>
    </row>
    <row r="684" spans="1:5" ht="12.75">
      <c r="A684" s="43">
        <v>195</v>
      </c>
      <c r="B684" s="1" t="s">
        <v>790</v>
      </c>
      <c r="C684" s="27" t="s">
        <v>1055</v>
      </c>
      <c r="D684" s="168">
        <v>2852</v>
      </c>
      <c r="E684" s="208">
        <v>44130</v>
      </c>
    </row>
    <row r="685" spans="1:5" ht="12.75">
      <c r="A685" s="43">
        <v>196</v>
      </c>
      <c r="B685" s="1" t="s">
        <v>1056</v>
      </c>
      <c r="C685" s="27" t="s">
        <v>956</v>
      </c>
      <c r="D685" s="168">
        <v>6330</v>
      </c>
      <c r="E685" s="208">
        <v>44174</v>
      </c>
    </row>
    <row r="686" spans="1:5" ht="12.75">
      <c r="A686" s="43">
        <v>197</v>
      </c>
      <c r="B686" s="1" t="s">
        <v>1057</v>
      </c>
      <c r="C686" s="27" t="s">
        <v>956</v>
      </c>
      <c r="D686" s="168">
        <v>5064</v>
      </c>
      <c r="E686" s="208">
        <v>44195</v>
      </c>
    </row>
    <row r="687" spans="1:5" ht="12.75">
      <c r="A687" s="43">
        <v>198</v>
      </c>
      <c r="B687" s="1" t="s">
        <v>1058</v>
      </c>
      <c r="C687" s="1" t="s">
        <v>510</v>
      </c>
      <c r="D687" s="168">
        <v>10811.9</v>
      </c>
      <c r="E687" s="208">
        <v>43873</v>
      </c>
    </row>
    <row r="688" spans="1:5" ht="12.75">
      <c r="A688" s="43">
        <v>199</v>
      </c>
      <c r="B688" s="1" t="s">
        <v>1059</v>
      </c>
      <c r="C688" s="27" t="s">
        <v>956</v>
      </c>
      <c r="D688" s="168">
        <v>3798</v>
      </c>
      <c r="E688" s="208">
        <v>44159</v>
      </c>
    </row>
    <row r="689" spans="1:5" ht="12.75">
      <c r="A689" s="43">
        <v>200</v>
      </c>
      <c r="B689" s="1" t="s">
        <v>1060</v>
      </c>
      <c r="C689" s="27" t="s">
        <v>1061</v>
      </c>
      <c r="D689" s="168">
        <v>2193.56</v>
      </c>
      <c r="E689" s="208">
        <v>44060</v>
      </c>
    </row>
    <row r="690" spans="1:5" ht="12.75">
      <c r="A690" s="43">
        <v>201</v>
      </c>
      <c r="B690" s="27" t="s">
        <v>1062</v>
      </c>
      <c r="C690" s="27" t="s">
        <v>510</v>
      </c>
      <c r="D690" s="168">
        <v>30226.44</v>
      </c>
      <c r="E690" s="212">
        <v>43892</v>
      </c>
    </row>
    <row r="691" spans="1:5" ht="12.75">
      <c r="A691" s="43">
        <v>202</v>
      </c>
      <c r="B691" s="1" t="s">
        <v>1063</v>
      </c>
      <c r="C691" s="27" t="s">
        <v>956</v>
      </c>
      <c r="D691" s="168">
        <v>3798</v>
      </c>
      <c r="E691" s="208">
        <v>44160</v>
      </c>
    </row>
    <row r="692" spans="1:5" ht="12.75">
      <c r="A692" s="43">
        <v>203</v>
      </c>
      <c r="B692" s="1" t="s">
        <v>889</v>
      </c>
      <c r="C692" s="1" t="s">
        <v>970</v>
      </c>
      <c r="D692" s="168">
        <v>65930</v>
      </c>
      <c r="E692" s="208">
        <v>43900</v>
      </c>
    </row>
    <row r="693" spans="1:5" ht="12.75">
      <c r="A693" s="43">
        <v>204</v>
      </c>
      <c r="B693" s="1" t="s">
        <v>889</v>
      </c>
      <c r="C693" s="1" t="s">
        <v>1038</v>
      </c>
      <c r="D693" s="168">
        <f>45403.53+15123.4</f>
        <v>60526.93</v>
      </c>
      <c r="E693" s="208">
        <v>43900</v>
      </c>
    </row>
    <row r="694" spans="1:5" ht="12.75">
      <c r="A694" s="43">
        <v>205</v>
      </c>
      <c r="B694" s="1" t="s">
        <v>692</v>
      </c>
      <c r="C694" s="27" t="s">
        <v>956</v>
      </c>
      <c r="D694" s="168">
        <v>6330</v>
      </c>
      <c r="E694" s="208">
        <v>44159</v>
      </c>
    </row>
    <row r="695" spans="1:5" ht="12.75">
      <c r="A695" s="43">
        <v>206</v>
      </c>
      <c r="B695" s="1" t="s">
        <v>1064</v>
      </c>
      <c r="C695" s="27" t="s">
        <v>956</v>
      </c>
      <c r="D695" s="168">
        <v>6330</v>
      </c>
      <c r="E695" s="208">
        <v>44160</v>
      </c>
    </row>
    <row r="696" spans="1:5" ht="12.75">
      <c r="A696" s="43">
        <v>207</v>
      </c>
      <c r="B696" s="1" t="s">
        <v>1065</v>
      </c>
      <c r="C696" s="27" t="s">
        <v>956</v>
      </c>
      <c r="D696" s="168">
        <v>5064</v>
      </c>
      <c r="E696" s="208">
        <v>44186</v>
      </c>
    </row>
    <row r="697" spans="1:5" ht="12.75">
      <c r="A697" s="43"/>
      <c r="B697" s="1" t="s">
        <v>1066</v>
      </c>
      <c r="C697" s="27" t="s">
        <v>956</v>
      </c>
      <c r="D697" s="168">
        <f>2532+3798</f>
        <v>6330</v>
      </c>
      <c r="E697" s="208">
        <v>44144</v>
      </c>
    </row>
    <row r="698" spans="1:5" ht="12.75">
      <c r="A698" s="43">
        <v>208</v>
      </c>
      <c r="B698" s="1" t="s">
        <v>694</v>
      </c>
      <c r="C698" s="1" t="s">
        <v>970</v>
      </c>
      <c r="D698" s="168">
        <v>21500</v>
      </c>
      <c r="E698" s="208">
        <v>43879</v>
      </c>
    </row>
    <row r="699" spans="1:5" ht="12.75">
      <c r="A699" s="43">
        <v>209</v>
      </c>
      <c r="B699" s="1" t="s">
        <v>560</v>
      </c>
      <c r="C699" s="1" t="s">
        <v>510</v>
      </c>
      <c r="D699" s="168">
        <v>74963.77</v>
      </c>
      <c r="E699" s="208">
        <v>43957</v>
      </c>
    </row>
    <row r="700" spans="1:5" ht="12.75">
      <c r="A700" s="43">
        <v>210</v>
      </c>
      <c r="B700" s="1" t="s">
        <v>562</v>
      </c>
      <c r="C700" s="1" t="s">
        <v>510</v>
      </c>
      <c r="D700" s="168">
        <v>60348.5</v>
      </c>
      <c r="E700" s="208">
        <v>43957</v>
      </c>
    </row>
    <row r="701" spans="1:5" ht="12.75">
      <c r="A701" s="43">
        <v>211</v>
      </c>
      <c r="B701" s="1" t="s">
        <v>565</v>
      </c>
      <c r="C701" s="1" t="s">
        <v>510</v>
      </c>
      <c r="D701" s="168">
        <v>12713.59</v>
      </c>
      <c r="E701" s="208">
        <v>43957</v>
      </c>
    </row>
    <row r="702" spans="1:5" ht="12.75">
      <c r="A702" s="43">
        <v>212</v>
      </c>
      <c r="B702" s="1" t="s">
        <v>949</v>
      </c>
      <c r="C702" s="27" t="s">
        <v>956</v>
      </c>
      <c r="D702" s="168">
        <v>6330</v>
      </c>
      <c r="E702" s="208">
        <v>44159</v>
      </c>
    </row>
    <row r="703" spans="1:5" ht="12.75">
      <c r="A703" s="43">
        <v>213</v>
      </c>
      <c r="B703" s="1" t="s">
        <v>949</v>
      </c>
      <c r="C703" s="27" t="s">
        <v>573</v>
      </c>
      <c r="D703" s="168">
        <f>40472.57+20404.43</f>
        <v>60877</v>
      </c>
      <c r="E703" s="208">
        <v>44166</v>
      </c>
    </row>
    <row r="704" spans="1:5" ht="12.75">
      <c r="A704" s="43">
        <v>214</v>
      </c>
      <c r="B704" s="1" t="s">
        <v>797</v>
      </c>
      <c r="C704" s="1" t="s">
        <v>970</v>
      </c>
      <c r="D704" s="168">
        <v>157462.38</v>
      </c>
      <c r="E704" s="208">
        <v>43900</v>
      </c>
    </row>
    <row r="705" spans="1:5" ht="12.75">
      <c r="A705" s="43">
        <v>215</v>
      </c>
      <c r="B705" s="1" t="s">
        <v>1067</v>
      </c>
      <c r="C705" s="27" t="s">
        <v>956</v>
      </c>
      <c r="D705" s="168">
        <v>5064</v>
      </c>
      <c r="E705" s="208">
        <v>44195</v>
      </c>
    </row>
    <row r="706" spans="1:5" ht="12.75">
      <c r="A706" s="43">
        <v>216</v>
      </c>
      <c r="B706" s="1" t="s">
        <v>1068</v>
      </c>
      <c r="C706" s="27" t="s">
        <v>510</v>
      </c>
      <c r="D706" s="168">
        <v>17949.96</v>
      </c>
      <c r="E706" s="208">
        <v>43900</v>
      </c>
    </row>
    <row r="707" spans="1:5" ht="12.75">
      <c r="A707" s="43">
        <v>217</v>
      </c>
      <c r="B707" s="1" t="s">
        <v>1068</v>
      </c>
      <c r="C707" s="27" t="s">
        <v>573</v>
      </c>
      <c r="D707" s="168">
        <v>44862</v>
      </c>
      <c r="E707" s="208">
        <v>44166</v>
      </c>
    </row>
    <row r="708" spans="1:5" ht="12.75">
      <c r="A708" s="43">
        <v>218</v>
      </c>
      <c r="B708" s="1" t="s">
        <v>1069</v>
      </c>
      <c r="C708" s="27" t="s">
        <v>956</v>
      </c>
      <c r="D708" s="168">
        <v>6330</v>
      </c>
      <c r="E708" s="208">
        <v>44160</v>
      </c>
    </row>
    <row r="709" spans="1:5" ht="12.75">
      <c r="A709" s="43">
        <v>219</v>
      </c>
      <c r="B709" s="1" t="s">
        <v>1070</v>
      </c>
      <c r="C709" s="27" t="s">
        <v>510</v>
      </c>
      <c r="D709" s="168">
        <v>20456.58</v>
      </c>
      <c r="E709" s="208">
        <v>43900</v>
      </c>
    </row>
    <row r="710" spans="1:5" ht="12.75">
      <c r="A710" s="43">
        <v>220</v>
      </c>
      <c r="B710" s="1" t="s">
        <v>798</v>
      </c>
      <c r="C710" s="27" t="s">
        <v>956</v>
      </c>
      <c r="D710" s="168">
        <v>6330</v>
      </c>
      <c r="E710" s="208">
        <v>44159</v>
      </c>
    </row>
    <row r="711" spans="1:5" ht="12.75">
      <c r="A711" s="43">
        <v>221</v>
      </c>
      <c r="B711" s="1" t="s">
        <v>798</v>
      </c>
      <c r="C711" s="27" t="s">
        <v>956</v>
      </c>
      <c r="D711" s="168">
        <v>6330</v>
      </c>
      <c r="E711" s="208">
        <v>44159</v>
      </c>
    </row>
    <row r="712" spans="1:5" ht="12.75">
      <c r="A712" s="43">
        <v>222</v>
      </c>
      <c r="B712" s="1" t="s">
        <v>1071</v>
      </c>
      <c r="C712" s="27" t="s">
        <v>956</v>
      </c>
      <c r="D712" s="168">
        <v>6330</v>
      </c>
      <c r="E712" s="208">
        <v>44160</v>
      </c>
    </row>
    <row r="713" spans="1:5" ht="12.75">
      <c r="A713" s="1"/>
      <c r="B713" s="44" t="s">
        <v>408</v>
      </c>
      <c r="C713" s="1"/>
      <c r="D713" s="9">
        <f>SUM(D490:D680)</f>
        <v>8912986.799999999</v>
      </c>
      <c r="E713" s="1"/>
    </row>
    <row r="714" ht="12.75">
      <c r="D714" s="202"/>
    </row>
    <row r="715" spans="1:5" s="7" customFormat="1" ht="18">
      <c r="A715" s="226" t="s">
        <v>1072</v>
      </c>
      <c r="B715" s="226"/>
      <c r="C715" s="226"/>
      <c r="D715" s="226"/>
      <c r="E715" s="226"/>
    </row>
    <row r="716" spans="1:5" s="7" customFormat="1" ht="18">
      <c r="A716" s="206"/>
      <c r="B716" s="206"/>
      <c r="C716" s="206"/>
      <c r="D716" s="215"/>
      <c r="E716" s="206"/>
    </row>
    <row r="717" spans="1:5" s="7" customFormat="1" ht="18">
      <c r="A717" s="206"/>
      <c r="B717" s="206"/>
      <c r="C717" s="206"/>
      <c r="D717" s="215"/>
      <c r="E717" s="206"/>
    </row>
    <row r="718" spans="1:5" s="7" customFormat="1" ht="12.75">
      <c r="A718" s="41" t="s">
        <v>482</v>
      </c>
      <c r="B718" s="41" t="s">
        <v>370</v>
      </c>
      <c r="C718" s="41" t="s">
        <v>483</v>
      </c>
      <c r="D718" s="199" t="s">
        <v>484</v>
      </c>
      <c r="E718" s="41" t="s">
        <v>485</v>
      </c>
    </row>
    <row r="719" spans="1:5" s="7" customFormat="1" ht="12.75">
      <c r="A719" s="43"/>
      <c r="B719" s="43"/>
      <c r="C719" s="43"/>
      <c r="D719" s="200"/>
      <c r="E719" s="43"/>
    </row>
    <row r="720" spans="1:5" s="7" customFormat="1" ht="12.75">
      <c r="A720" s="1">
        <v>1</v>
      </c>
      <c r="B720" s="1" t="s">
        <v>704</v>
      </c>
      <c r="C720" s="27" t="s">
        <v>956</v>
      </c>
      <c r="D720" s="168">
        <v>1725</v>
      </c>
      <c r="E720" s="201">
        <v>44494</v>
      </c>
    </row>
    <row r="721" spans="1:5" s="7" customFormat="1" ht="12.75">
      <c r="A721" s="1">
        <v>2</v>
      </c>
      <c r="B721" s="1" t="s">
        <v>704</v>
      </c>
      <c r="C721" s="27" t="s">
        <v>956</v>
      </c>
      <c r="D721" s="168">
        <v>1725</v>
      </c>
      <c r="E721" s="201">
        <v>44516</v>
      </c>
    </row>
    <row r="722" spans="1:5" s="7" customFormat="1" ht="12.75">
      <c r="A722" s="1">
        <v>3</v>
      </c>
      <c r="B722" s="1" t="s">
        <v>704</v>
      </c>
      <c r="C722" s="27" t="s">
        <v>573</v>
      </c>
      <c r="D722" s="168">
        <v>46075</v>
      </c>
      <c r="E722" s="201">
        <v>44546</v>
      </c>
    </row>
    <row r="723" spans="1:5" s="7" customFormat="1" ht="12.75">
      <c r="A723" s="1">
        <v>4</v>
      </c>
      <c r="B723" s="1" t="s">
        <v>1073</v>
      </c>
      <c r="C723" s="27" t="s">
        <v>956</v>
      </c>
      <c r="D723" s="168">
        <v>1725</v>
      </c>
      <c r="E723" s="201">
        <v>44527</v>
      </c>
    </row>
    <row r="724" spans="1:5" s="7" customFormat="1" ht="12.75">
      <c r="A724" s="1">
        <v>5</v>
      </c>
      <c r="B724" s="1" t="s">
        <v>1074</v>
      </c>
      <c r="C724" s="27" t="s">
        <v>956</v>
      </c>
      <c r="D724" s="168">
        <v>1725</v>
      </c>
      <c r="E724" s="201">
        <v>44234</v>
      </c>
    </row>
    <row r="725" spans="1:5" s="7" customFormat="1" ht="12.75">
      <c r="A725" s="1">
        <v>6</v>
      </c>
      <c r="B725" s="1" t="s">
        <v>1075</v>
      </c>
      <c r="C725" s="27" t="s">
        <v>956</v>
      </c>
      <c r="D725" s="168">
        <v>1725</v>
      </c>
      <c r="E725" s="201">
        <v>44215</v>
      </c>
    </row>
    <row r="726" spans="1:5" s="7" customFormat="1" ht="12.75">
      <c r="A726" s="1">
        <v>7</v>
      </c>
      <c r="B726" s="1" t="s">
        <v>1076</v>
      </c>
      <c r="C726" s="1" t="s">
        <v>956</v>
      </c>
      <c r="D726" s="168">
        <v>1725</v>
      </c>
      <c r="E726" s="201">
        <v>44291</v>
      </c>
    </row>
    <row r="727" spans="1:5" s="7" customFormat="1" ht="12.75">
      <c r="A727" s="1">
        <v>8</v>
      </c>
      <c r="B727" s="1" t="s">
        <v>709</v>
      </c>
      <c r="C727" s="27" t="s">
        <v>956</v>
      </c>
      <c r="D727" s="168">
        <v>1725</v>
      </c>
      <c r="E727" s="201">
        <v>44494</v>
      </c>
    </row>
    <row r="728" spans="1:5" s="7" customFormat="1" ht="12.75">
      <c r="A728" s="1">
        <v>9</v>
      </c>
      <c r="B728" s="1" t="s">
        <v>1077</v>
      </c>
      <c r="C728" s="27" t="s">
        <v>956</v>
      </c>
      <c r="D728" s="168">
        <v>1725</v>
      </c>
      <c r="E728" s="201">
        <v>44488</v>
      </c>
    </row>
    <row r="729" spans="1:5" s="7" customFormat="1" ht="12.75">
      <c r="A729" s="1">
        <v>10</v>
      </c>
      <c r="B729" s="1" t="s">
        <v>1078</v>
      </c>
      <c r="C729" s="1" t="s">
        <v>956</v>
      </c>
      <c r="D729" s="168">
        <v>3450</v>
      </c>
      <c r="E729" s="201">
        <v>44281</v>
      </c>
    </row>
    <row r="730" spans="1:5" s="7" customFormat="1" ht="12.75">
      <c r="A730" s="1">
        <v>11</v>
      </c>
      <c r="B730" s="1" t="s">
        <v>1079</v>
      </c>
      <c r="C730" s="27" t="s">
        <v>956</v>
      </c>
      <c r="D730" s="168">
        <v>690</v>
      </c>
      <c r="E730" s="201">
        <v>44488</v>
      </c>
    </row>
    <row r="731" spans="1:5" s="7" customFormat="1" ht="12.75">
      <c r="A731" s="1">
        <v>12</v>
      </c>
      <c r="B731" s="1" t="s">
        <v>711</v>
      </c>
      <c r="C731" s="27" t="s">
        <v>956</v>
      </c>
      <c r="D731" s="168">
        <v>690</v>
      </c>
      <c r="E731" s="201">
        <v>44509</v>
      </c>
    </row>
    <row r="732" spans="1:5" s="7" customFormat="1" ht="12.75">
      <c r="A732" s="1">
        <v>13</v>
      </c>
      <c r="B732" s="1" t="s">
        <v>1080</v>
      </c>
      <c r="C732" s="27" t="s">
        <v>956</v>
      </c>
      <c r="D732" s="168">
        <v>1725</v>
      </c>
      <c r="E732" s="201">
        <v>44527</v>
      </c>
    </row>
    <row r="733" spans="1:5" s="7" customFormat="1" ht="12.75">
      <c r="A733" s="1">
        <v>14</v>
      </c>
      <c r="B733" s="1" t="s">
        <v>1081</v>
      </c>
      <c r="C733" s="27" t="s">
        <v>956</v>
      </c>
      <c r="D733" s="168">
        <v>1725</v>
      </c>
      <c r="E733" s="201">
        <v>44246</v>
      </c>
    </row>
    <row r="734" spans="1:5" s="7" customFormat="1" ht="12.75">
      <c r="A734" s="1">
        <v>15</v>
      </c>
      <c r="B734" s="1" t="s">
        <v>1082</v>
      </c>
      <c r="C734" s="27" t="s">
        <v>956</v>
      </c>
      <c r="D734" s="168">
        <v>690</v>
      </c>
      <c r="E734" s="201">
        <v>44243</v>
      </c>
    </row>
    <row r="735" spans="1:5" s="7" customFormat="1" ht="12.75">
      <c r="A735" s="1">
        <v>16</v>
      </c>
      <c r="B735" s="1" t="s">
        <v>1083</v>
      </c>
      <c r="C735" s="27" t="s">
        <v>956</v>
      </c>
      <c r="D735" s="168">
        <v>1035</v>
      </c>
      <c r="E735" s="201">
        <v>44497</v>
      </c>
    </row>
    <row r="736" spans="1:5" s="7" customFormat="1" ht="12.75">
      <c r="A736" s="1">
        <v>17</v>
      </c>
      <c r="B736" s="1" t="s">
        <v>1084</v>
      </c>
      <c r="C736" s="27" t="s">
        <v>956</v>
      </c>
      <c r="D736" s="168">
        <v>1725</v>
      </c>
      <c r="E736" s="201">
        <v>44210</v>
      </c>
    </row>
    <row r="737" spans="1:5" s="7" customFormat="1" ht="12.75">
      <c r="A737" s="1">
        <v>18</v>
      </c>
      <c r="B737" s="1" t="s">
        <v>1084</v>
      </c>
      <c r="C737" s="27" t="s">
        <v>956</v>
      </c>
      <c r="D737" s="168">
        <v>1725</v>
      </c>
      <c r="E737" s="201">
        <v>44215</v>
      </c>
    </row>
    <row r="738" spans="1:5" s="7" customFormat="1" ht="12.75">
      <c r="A738" s="1">
        <v>19</v>
      </c>
      <c r="B738" s="1" t="s">
        <v>1085</v>
      </c>
      <c r="C738" s="27" t="s">
        <v>573</v>
      </c>
      <c r="D738" s="168">
        <v>42149.5</v>
      </c>
      <c r="E738" s="201">
        <v>44469</v>
      </c>
    </row>
    <row r="739" spans="1:5" s="7" customFormat="1" ht="12.75">
      <c r="A739" s="1">
        <v>20</v>
      </c>
      <c r="B739" s="1" t="s">
        <v>1085</v>
      </c>
      <c r="C739" s="27" t="s">
        <v>956</v>
      </c>
      <c r="D739" s="168">
        <v>1725</v>
      </c>
      <c r="E739" s="201">
        <v>44494</v>
      </c>
    </row>
    <row r="740" spans="1:5" s="7" customFormat="1" ht="12.75">
      <c r="A740" s="1">
        <v>21</v>
      </c>
      <c r="B740" s="1" t="s">
        <v>1085</v>
      </c>
      <c r="C740" s="27" t="s">
        <v>956</v>
      </c>
      <c r="D740" s="168">
        <v>1725</v>
      </c>
      <c r="E740" s="201">
        <v>44531</v>
      </c>
    </row>
    <row r="741" spans="1:5" s="7" customFormat="1" ht="12.75">
      <c r="A741" s="1">
        <v>22</v>
      </c>
      <c r="B741" s="1" t="s">
        <v>1086</v>
      </c>
      <c r="C741" s="27" t="s">
        <v>956</v>
      </c>
      <c r="D741" s="168">
        <v>1725</v>
      </c>
      <c r="E741" s="201">
        <v>44488</v>
      </c>
    </row>
    <row r="742" spans="1:5" s="7" customFormat="1" ht="12.75">
      <c r="A742" s="1">
        <v>23</v>
      </c>
      <c r="B742" s="1" t="s">
        <v>486</v>
      </c>
      <c r="C742" s="27" t="s">
        <v>573</v>
      </c>
      <c r="D742" s="168">
        <v>42149.5</v>
      </c>
      <c r="E742" s="201">
        <v>44469</v>
      </c>
    </row>
    <row r="743" spans="1:5" s="7" customFormat="1" ht="12.75">
      <c r="A743" s="1">
        <v>24</v>
      </c>
      <c r="B743" s="1" t="s">
        <v>486</v>
      </c>
      <c r="C743" s="27" t="s">
        <v>956</v>
      </c>
      <c r="D743" s="168">
        <v>1725</v>
      </c>
      <c r="E743" s="201">
        <v>44494</v>
      </c>
    </row>
    <row r="744" spans="1:5" s="7" customFormat="1" ht="12.75">
      <c r="A744" s="1">
        <v>25</v>
      </c>
      <c r="B744" s="1" t="s">
        <v>486</v>
      </c>
      <c r="C744" s="27" t="s">
        <v>956</v>
      </c>
      <c r="D744" s="168">
        <v>1725</v>
      </c>
      <c r="E744" s="201">
        <v>44494</v>
      </c>
    </row>
    <row r="745" spans="1:5" s="7" customFormat="1" ht="12.75">
      <c r="A745" s="1">
        <v>26</v>
      </c>
      <c r="B745" s="1" t="s">
        <v>486</v>
      </c>
      <c r="C745" s="27" t="s">
        <v>956</v>
      </c>
      <c r="D745" s="168">
        <v>1725</v>
      </c>
      <c r="E745" s="201">
        <v>44516</v>
      </c>
    </row>
    <row r="746" spans="1:5" s="7" customFormat="1" ht="12.75">
      <c r="A746" s="1">
        <v>27</v>
      </c>
      <c r="B746" s="1" t="s">
        <v>1087</v>
      </c>
      <c r="C746" s="27" t="s">
        <v>573</v>
      </c>
      <c r="D746" s="168">
        <v>71841.05</v>
      </c>
      <c r="E746" s="201">
        <v>44547</v>
      </c>
    </row>
    <row r="747" spans="1:5" s="7" customFormat="1" ht="12.75">
      <c r="A747" s="1">
        <v>28</v>
      </c>
      <c r="B747" s="1" t="s">
        <v>1088</v>
      </c>
      <c r="C747" s="27" t="s">
        <v>956</v>
      </c>
      <c r="D747" s="168">
        <v>1725</v>
      </c>
      <c r="E747" s="201">
        <v>44488</v>
      </c>
    </row>
    <row r="748" spans="1:5" s="7" customFormat="1" ht="12.75">
      <c r="A748" s="1">
        <v>29</v>
      </c>
      <c r="B748" s="1" t="s">
        <v>489</v>
      </c>
      <c r="C748" s="27" t="s">
        <v>956</v>
      </c>
      <c r="D748" s="168">
        <v>1725</v>
      </c>
      <c r="E748" s="201">
        <v>44494</v>
      </c>
    </row>
    <row r="749" spans="1:5" s="7" customFormat="1" ht="12.75">
      <c r="A749" s="1"/>
      <c r="B749" s="1" t="s">
        <v>489</v>
      </c>
      <c r="C749" s="27" t="s">
        <v>956</v>
      </c>
      <c r="D749" s="168">
        <v>1725</v>
      </c>
      <c r="E749" s="201">
        <v>44509</v>
      </c>
    </row>
    <row r="750" spans="1:5" s="7" customFormat="1" ht="12.75">
      <c r="A750" s="1">
        <v>30</v>
      </c>
      <c r="B750" s="1" t="s">
        <v>492</v>
      </c>
      <c r="C750" s="27" t="s">
        <v>956</v>
      </c>
      <c r="D750" s="168">
        <v>1035</v>
      </c>
      <c r="E750" s="201">
        <v>44516</v>
      </c>
    </row>
    <row r="751" spans="1:5" s="7" customFormat="1" ht="12.75">
      <c r="A751" s="1">
        <v>31</v>
      </c>
      <c r="B751" s="1" t="s">
        <v>720</v>
      </c>
      <c r="C751" s="27" t="s">
        <v>573</v>
      </c>
      <c r="D751" s="168">
        <v>42149.5</v>
      </c>
      <c r="E751" s="201">
        <v>44469</v>
      </c>
    </row>
    <row r="752" spans="1:5" s="7" customFormat="1" ht="12.75">
      <c r="A752" s="1">
        <v>32</v>
      </c>
      <c r="B752" s="1" t="s">
        <v>577</v>
      </c>
      <c r="C752" s="27" t="s">
        <v>573</v>
      </c>
      <c r="D752" s="168">
        <v>42149.5</v>
      </c>
      <c r="E752" s="201">
        <v>44469</v>
      </c>
    </row>
    <row r="753" spans="1:5" s="7" customFormat="1" ht="12.75">
      <c r="A753" s="1">
        <v>33</v>
      </c>
      <c r="B753" s="1" t="s">
        <v>1089</v>
      </c>
      <c r="C753" s="27" t="s">
        <v>956</v>
      </c>
      <c r="D753" s="168">
        <v>690</v>
      </c>
      <c r="E753" s="201">
        <v>44242</v>
      </c>
    </row>
    <row r="754" spans="1:5" s="7" customFormat="1" ht="12.75">
      <c r="A754" s="1">
        <v>34</v>
      </c>
      <c r="B754" s="1" t="s">
        <v>1090</v>
      </c>
      <c r="C754" s="27" t="s">
        <v>1091</v>
      </c>
      <c r="D754" s="168">
        <v>65500</v>
      </c>
      <c r="E754" s="201">
        <v>44245</v>
      </c>
    </row>
    <row r="755" spans="1:5" s="7" customFormat="1" ht="12.75">
      <c r="A755" s="1">
        <v>35</v>
      </c>
      <c r="B755" s="1" t="s">
        <v>495</v>
      </c>
      <c r="C755" s="27" t="s">
        <v>970</v>
      </c>
      <c r="D755" s="168">
        <f>37803.01+53383.42+2413.58</f>
        <v>93600.01</v>
      </c>
      <c r="E755" s="201">
        <v>44498</v>
      </c>
    </row>
    <row r="756" spans="1:5" s="7" customFormat="1" ht="12.75">
      <c r="A756" s="1">
        <v>36</v>
      </c>
      <c r="B756" s="1" t="s">
        <v>498</v>
      </c>
      <c r="C756" s="27" t="s">
        <v>956</v>
      </c>
      <c r="D756" s="168">
        <v>1035</v>
      </c>
      <c r="E756" s="201">
        <v>44501</v>
      </c>
    </row>
    <row r="757" spans="1:5" s="7" customFormat="1" ht="12.75">
      <c r="A757" s="1">
        <v>37</v>
      </c>
      <c r="B757" s="1" t="s">
        <v>1092</v>
      </c>
      <c r="C757" s="27" t="s">
        <v>956</v>
      </c>
      <c r="D757" s="168">
        <v>690</v>
      </c>
      <c r="E757" s="201">
        <v>44527</v>
      </c>
    </row>
    <row r="758" spans="1:5" s="7" customFormat="1" ht="12.75">
      <c r="A758" s="1">
        <v>38</v>
      </c>
      <c r="B758" s="1" t="s">
        <v>1093</v>
      </c>
      <c r="C758" s="27" t="s">
        <v>956</v>
      </c>
      <c r="D758" s="168">
        <v>1380</v>
      </c>
      <c r="E758" s="201">
        <v>44490</v>
      </c>
    </row>
    <row r="759" spans="1:5" s="7" customFormat="1" ht="12.75">
      <c r="A759" s="1">
        <v>39</v>
      </c>
      <c r="B759" s="1" t="s">
        <v>504</v>
      </c>
      <c r="C759" s="27" t="s">
        <v>1094</v>
      </c>
      <c r="D759" s="168">
        <v>17527.83</v>
      </c>
      <c r="E759" s="201">
        <v>43069</v>
      </c>
    </row>
    <row r="760" spans="1:5" s="7" customFormat="1" ht="12.75">
      <c r="A760" s="1">
        <v>40</v>
      </c>
      <c r="B760" s="1" t="s">
        <v>1095</v>
      </c>
      <c r="C760" s="27" t="s">
        <v>956</v>
      </c>
      <c r="D760" s="168">
        <v>1035</v>
      </c>
      <c r="E760" s="201">
        <v>44527</v>
      </c>
    </row>
    <row r="761" spans="1:5" s="7" customFormat="1" ht="12.75">
      <c r="A761" s="1">
        <v>41</v>
      </c>
      <c r="B761" s="1" t="s">
        <v>1096</v>
      </c>
      <c r="C761" s="27" t="s">
        <v>956</v>
      </c>
      <c r="D761" s="168">
        <v>1725</v>
      </c>
      <c r="E761" s="201">
        <v>44215</v>
      </c>
    </row>
    <row r="762" spans="1:5" s="7" customFormat="1" ht="12.75">
      <c r="A762" s="1">
        <v>42</v>
      </c>
      <c r="B762" s="1" t="s">
        <v>724</v>
      </c>
      <c r="C762" s="27" t="s">
        <v>573</v>
      </c>
      <c r="D762" s="168">
        <v>44386.28</v>
      </c>
      <c r="E762" s="201">
        <v>44469</v>
      </c>
    </row>
    <row r="763" spans="1:5" s="7" customFormat="1" ht="12.75">
      <c r="A763" s="1">
        <v>43</v>
      </c>
      <c r="B763" s="1" t="s">
        <v>724</v>
      </c>
      <c r="C763" s="27" t="s">
        <v>956</v>
      </c>
      <c r="D763" s="168">
        <v>1725</v>
      </c>
      <c r="E763" s="201">
        <v>44497</v>
      </c>
    </row>
    <row r="764" spans="1:5" s="7" customFormat="1" ht="12.75">
      <c r="A764" s="1">
        <v>44</v>
      </c>
      <c r="B764" s="1" t="s">
        <v>724</v>
      </c>
      <c r="C764" s="27" t="s">
        <v>956</v>
      </c>
      <c r="D764" s="168">
        <v>1725</v>
      </c>
      <c r="E764" s="201">
        <v>44501</v>
      </c>
    </row>
    <row r="765" spans="1:5" s="7" customFormat="1" ht="12.75">
      <c r="A765" s="1">
        <v>45</v>
      </c>
      <c r="B765" s="1" t="s">
        <v>1097</v>
      </c>
      <c r="C765" s="27" t="s">
        <v>956</v>
      </c>
      <c r="D765" s="168">
        <v>1725</v>
      </c>
      <c r="E765" s="201">
        <v>44488</v>
      </c>
    </row>
    <row r="766" spans="1:5" s="7" customFormat="1" ht="12.75">
      <c r="A766" s="1">
        <v>46</v>
      </c>
      <c r="B766" s="1" t="s">
        <v>1098</v>
      </c>
      <c r="C766" s="27" t="s">
        <v>956</v>
      </c>
      <c r="D766" s="168">
        <v>1725</v>
      </c>
      <c r="E766" s="201">
        <v>44215</v>
      </c>
    </row>
    <row r="767" spans="1:5" s="7" customFormat="1" ht="12.75">
      <c r="A767" s="1">
        <v>47</v>
      </c>
      <c r="B767" s="1" t="s">
        <v>725</v>
      </c>
      <c r="C767" s="27" t="s">
        <v>573</v>
      </c>
      <c r="D767" s="168">
        <v>42149.5</v>
      </c>
      <c r="E767" s="201">
        <v>44546</v>
      </c>
    </row>
    <row r="768" spans="1:5" s="7" customFormat="1" ht="12.75">
      <c r="A768" s="1">
        <v>48</v>
      </c>
      <c r="B768" s="1" t="s">
        <v>1099</v>
      </c>
      <c r="C768" s="27" t="s">
        <v>956</v>
      </c>
      <c r="D768" s="168">
        <v>1380</v>
      </c>
      <c r="E768" s="201">
        <v>44229</v>
      </c>
    </row>
    <row r="769" spans="1:5" s="7" customFormat="1" ht="12.75">
      <c r="A769" s="1">
        <v>49</v>
      </c>
      <c r="B769" s="1" t="s">
        <v>1100</v>
      </c>
      <c r="C769" s="27" t="s">
        <v>956</v>
      </c>
      <c r="D769" s="168">
        <v>1380</v>
      </c>
      <c r="E769" s="201">
        <v>44527</v>
      </c>
    </row>
    <row r="770" spans="1:5" s="7" customFormat="1" ht="12.75">
      <c r="A770" s="1">
        <v>50</v>
      </c>
      <c r="B770" s="1" t="s">
        <v>1101</v>
      </c>
      <c r="C770" s="27" t="s">
        <v>956</v>
      </c>
      <c r="D770" s="168">
        <v>1380</v>
      </c>
      <c r="E770" s="214" t="s">
        <v>1102</v>
      </c>
    </row>
    <row r="771" spans="1:5" s="7" customFormat="1" ht="12.75">
      <c r="A771" s="1">
        <v>51</v>
      </c>
      <c r="B771" s="1" t="s">
        <v>1103</v>
      </c>
      <c r="C771" s="27" t="s">
        <v>956</v>
      </c>
      <c r="D771" s="168">
        <v>1380</v>
      </c>
      <c r="E771" s="201">
        <v>44210</v>
      </c>
    </row>
    <row r="772" spans="1:5" s="7" customFormat="1" ht="12.75">
      <c r="A772" s="1">
        <v>52</v>
      </c>
      <c r="B772" s="1" t="s">
        <v>509</v>
      </c>
      <c r="C772" s="27" t="s">
        <v>956</v>
      </c>
      <c r="D772" s="168">
        <v>1725</v>
      </c>
      <c r="E772" s="201">
        <v>44509</v>
      </c>
    </row>
    <row r="773" spans="1:5" s="7" customFormat="1" ht="12.75">
      <c r="A773" s="1">
        <v>53</v>
      </c>
      <c r="B773" s="1" t="s">
        <v>509</v>
      </c>
      <c r="C773" s="27" t="s">
        <v>573</v>
      </c>
      <c r="D773" s="168">
        <v>71841.05</v>
      </c>
      <c r="E773" s="201">
        <v>44547</v>
      </c>
    </row>
    <row r="774" spans="1:5" s="7" customFormat="1" ht="12.75">
      <c r="A774" s="1">
        <v>54</v>
      </c>
      <c r="B774" s="1" t="s">
        <v>512</v>
      </c>
      <c r="C774" s="27" t="s">
        <v>956</v>
      </c>
      <c r="D774" s="168">
        <v>1725</v>
      </c>
      <c r="E774" s="201">
        <v>44494</v>
      </c>
    </row>
    <row r="775" spans="1:5" s="7" customFormat="1" ht="12.75">
      <c r="A775" s="1">
        <v>55</v>
      </c>
      <c r="B775" s="1" t="s">
        <v>512</v>
      </c>
      <c r="C775" s="27" t="s">
        <v>956</v>
      </c>
      <c r="D775" s="168">
        <v>1725</v>
      </c>
      <c r="E775" s="201">
        <v>44509</v>
      </c>
    </row>
    <row r="776" spans="1:5" s="7" customFormat="1" ht="12.75">
      <c r="A776" s="1">
        <v>56</v>
      </c>
      <c r="B776" s="1" t="s">
        <v>1104</v>
      </c>
      <c r="C776" s="27" t="s">
        <v>956</v>
      </c>
      <c r="D776" s="168">
        <v>1725</v>
      </c>
      <c r="E776" s="201">
        <v>44229</v>
      </c>
    </row>
    <row r="777" spans="1:5" s="7" customFormat="1" ht="12.75">
      <c r="A777" s="1">
        <v>57</v>
      </c>
      <c r="B777" s="1" t="s">
        <v>1105</v>
      </c>
      <c r="C777" s="27" t="s">
        <v>956</v>
      </c>
      <c r="D777" s="168">
        <v>1725</v>
      </c>
      <c r="E777" s="201">
        <v>44488</v>
      </c>
    </row>
    <row r="778" spans="1:5" s="7" customFormat="1" ht="12.75">
      <c r="A778" s="1">
        <v>58</v>
      </c>
      <c r="B778" s="1" t="s">
        <v>514</v>
      </c>
      <c r="C778" s="27" t="s">
        <v>956</v>
      </c>
      <c r="D778" s="168">
        <v>690</v>
      </c>
      <c r="E778" s="201">
        <v>44509</v>
      </c>
    </row>
    <row r="779" spans="1:5" s="7" customFormat="1" ht="12.75">
      <c r="A779" s="1">
        <v>59</v>
      </c>
      <c r="B779" s="1" t="s">
        <v>516</v>
      </c>
      <c r="C779" s="27" t="s">
        <v>956</v>
      </c>
      <c r="D779" s="168">
        <v>1725</v>
      </c>
      <c r="E779" s="201">
        <v>44516</v>
      </c>
    </row>
    <row r="780" spans="1:5" s="7" customFormat="1" ht="12.75">
      <c r="A780" s="1">
        <v>60</v>
      </c>
      <c r="B780" s="1" t="s">
        <v>516</v>
      </c>
      <c r="C780" s="27" t="s">
        <v>956</v>
      </c>
      <c r="D780" s="168">
        <v>1725</v>
      </c>
      <c r="E780" s="201">
        <v>44527</v>
      </c>
    </row>
    <row r="781" spans="1:5" s="7" customFormat="1" ht="12.75">
      <c r="A781" s="1">
        <v>61</v>
      </c>
      <c r="B781" s="1" t="s">
        <v>516</v>
      </c>
      <c r="C781" s="27" t="s">
        <v>573</v>
      </c>
      <c r="D781" s="168">
        <v>105156.94</v>
      </c>
      <c r="E781" s="201">
        <v>44547</v>
      </c>
    </row>
    <row r="782" spans="1:5" s="7" customFormat="1" ht="12.75">
      <c r="A782" s="1">
        <v>62</v>
      </c>
      <c r="B782" s="1" t="s">
        <v>1106</v>
      </c>
      <c r="C782" s="27" t="s">
        <v>956</v>
      </c>
      <c r="D782" s="168">
        <v>1725</v>
      </c>
      <c r="E782" s="201">
        <v>44488</v>
      </c>
    </row>
    <row r="783" spans="1:5" s="7" customFormat="1" ht="12.75">
      <c r="A783" s="1">
        <v>63</v>
      </c>
      <c r="B783" s="1" t="s">
        <v>1107</v>
      </c>
      <c r="C783" s="27" t="s">
        <v>956</v>
      </c>
      <c r="D783" s="168">
        <v>1725</v>
      </c>
      <c r="E783" s="201">
        <v>44264</v>
      </c>
    </row>
    <row r="784" spans="1:5" s="7" customFormat="1" ht="12.75">
      <c r="A784" s="1">
        <v>64</v>
      </c>
      <c r="B784" s="1" t="s">
        <v>1108</v>
      </c>
      <c r="C784" s="27" t="s">
        <v>956</v>
      </c>
      <c r="D784" s="168">
        <v>1725</v>
      </c>
      <c r="E784" s="201">
        <v>44218</v>
      </c>
    </row>
    <row r="785" spans="1:5" s="7" customFormat="1" ht="12.75">
      <c r="A785" s="1">
        <v>65</v>
      </c>
      <c r="B785" s="1" t="s">
        <v>812</v>
      </c>
      <c r="C785" s="27" t="s">
        <v>956</v>
      </c>
      <c r="D785" s="168">
        <v>1725</v>
      </c>
      <c r="E785" s="201">
        <v>44494</v>
      </c>
    </row>
    <row r="786" spans="1:5" s="7" customFormat="1" ht="12.75">
      <c r="A786" s="1">
        <v>66</v>
      </c>
      <c r="B786" s="1" t="s">
        <v>812</v>
      </c>
      <c r="C786" s="27" t="s">
        <v>956</v>
      </c>
      <c r="D786" s="168">
        <v>1725</v>
      </c>
      <c r="E786" s="201">
        <v>44509</v>
      </c>
    </row>
    <row r="787" spans="1:5" s="7" customFormat="1" ht="12.75">
      <c r="A787" s="1">
        <v>67</v>
      </c>
      <c r="B787" s="1" t="s">
        <v>812</v>
      </c>
      <c r="C787" s="27" t="s">
        <v>956</v>
      </c>
      <c r="D787" s="168">
        <f>1725+1725</f>
        <v>3450</v>
      </c>
      <c r="E787" s="201">
        <v>44522</v>
      </c>
    </row>
    <row r="788" spans="1:5" s="7" customFormat="1" ht="12.75">
      <c r="A788" s="1">
        <v>68</v>
      </c>
      <c r="B788" s="1" t="s">
        <v>812</v>
      </c>
      <c r="C788" s="27" t="s">
        <v>956</v>
      </c>
      <c r="D788" s="168">
        <v>1725</v>
      </c>
      <c r="E788" s="201">
        <v>44527</v>
      </c>
    </row>
    <row r="789" spans="1:5" s="7" customFormat="1" ht="12.75">
      <c r="A789" s="1">
        <v>69</v>
      </c>
      <c r="B789" s="1" t="s">
        <v>812</v>
      </c>
      <c r="C789" s="27" t="s">
        <v>573</v>
      </c>
      <c r="D789" s="168">
        <v>111608.4</v>
      </c>
      <c r="E789" s="201">
        <v>44547</v>
      </c>
    </row>
    <row r="790" spans="1:5" s="7" customFormat="1" ht="12.75">
      <c r="A790" s="1">
        <v>70</v>
      </c>
      <c r="B790" s="1" t="s">
        <v>1109</v>
      </c>
      <c r="C790" s="27" t="s">
        <v>956</v>
      </c>
      <c r="D790" s="168">
        <v>1725</v>
      </c>
      <c r="E790" s="201">
        <v>44264</v>
      </c>
    </row>
    <row r="791" spans="1:5" s="7" customFormat="1" ht="12.75">
      <c r="A791" s="1">
        <v>71</v>
      </c>
      <c r="B791" s="1" t="s">
        <v>974</v>
      </c>
      <c r="C791" s="27" t="s">
        <v>1110</v>
      </c>
      <c r="D791" s="168">
        <v>15997</v>
      </c>
      <c r="E791" s="201">
        <v>44554</v>
      </c>
    </row>
    <row r="792" spans="1:5" s="7" customFormat="1" ht="12.75">
      <c r="A792" s="1">
        <v>72</v>
      </c>
      <c r="B792" s="1" t="s">
        <v>731</v>
      </c>
      <c r="C792" s="27" t="s">
        <v>1111</v>
      </c>
      <c r="D792" s="168">
        <f>107305.29+526092.03</f>
        <v>633397.3200000001</v>
      </c>
      <c r="E792" s="201">
        <v>44348</v>
      </c>
    </row>
    <row r="793" spans="1:5" s="7" customFormat="1" ht="12.75">
      <c r="A793" s="1">
        <v>73</v>
      </c>
      <c r="B793" s="1" t="s">
        <v>731</v>
      </c>
      <c r="C793" s="27" t="s">
        <v>956</v>
      </c>
      <c r="D793" s="168">
        <v>1725</v>
      </c>
      <c r="E793" s="201">
        <v>44494</v>
      </c>
    </row>
    <row r="794" spans="1:5" s="7" customFormat="1" ht="12.75">
      <c r="A794" s="1">
        <v>74</v>
      </c>
      <c r="B794" s="1" t="s">
        <v>1112</v>
      </c>
      <c r="C794" s="27" t="s">
        <v>956</v>
      </c>
      <c r="D794" s="168">
        <v>1725</v>
      </c>
      <c r="E794" s="201">
        <v>44218</v>
      </c>
    </row>
    <row r="795" spans="1:6" s="7" customFormat="1" ht="12.75">
      <c r="A795" s="1">
        <v>75</v>
      </c>
      <c r="B795" s="1" t="s">
        <v>1113</v>
      </c>
      <c r="C795" s="27" t="s">
        <v>956</v>
      </c>
      <c r="D795" s="168">
        <v>1725</v>
      </c>
      <c r="E795" s="201">
        <v>44210</v>
      </c>
      <c r="F795" s="3"/>
    </row>
    <row r="796" spans="1:6" s="7" customFormat="1" ht="12.75">
      <c r="A796" s="1">
        <v>76</v>
      </c>
      <c r="B796" s="1" t="s">
        <v>975</v>
      </c>
      <c r="C796" s="27" t="s">
        <v>956</v>
      </c>
      <c r="D796" s="168">
        <v>1380</v>
      </c>
      <c r="E796" s="201">
        <v>44531</v>
      </c>
      <c r="F796" s="3"/>
    </row>
    <row r="797" spans="1:6" s="7" customFormat="1" ht="12.75">
      <c r="A797" s="1">
        <v>77</v>
      </c>
      <c r="B797" s="1" t="s">
        <v>595</v>
      </c>
      <c r="C797" s="27" t="s">
        <v>573</v>
      </c>
      <c r="D797" s="168">
        <f>34843.1+9543.18</f>
        <v>44386.28</v>
      </c>
      <c r="E797" s="201">
        <v>44469</v>
      </c>
      <c r="F797" s="3"/>
    </row>
    <row r="798" spans="1:6" s="7" customFormat="1" ht="12.75">
      <c r="A798" s="1">
        <v>78</v>
      </c>
      <c r="B798" s="1" t="s">
        <v>1114</v>
      </c>
      <c r="C798" s="27" t="s">
        <v>956</v>
      </c>
      <c r="D798" s="168">
        <v>1380</v>
      </c>
      <c r="E798" s="201">
        <v>44516</v>
      </c>
      <c r="F798" s="3"/>
    </row>
    <row r="799" spans="1:6" s="7" customFormat="1" ht="12.75">
      <c r="A799" s="1">
        <v>79</v>
      </c>
      <c r="B799" s="1" t="s">
        <v>1115</v>
      </c>
      <c r="C799" s="27" t="s">
        <v>956</v>
      </c>
      <c r="D799" s="168">
        <v>1380</v>
      </c>
      <c r="E799" s="201">
        <v>44516</v>
      </c>
      <c r="F799" s="3"/>
    </row>
    <row r="800" spans="1:6" s="7" customFormat="1" ht="12.75">
      <c r="A800" s="1">
        <v>80</v>
      </c>
      <c r="B800" s="1" t="s">
        <v>976</v>
      </c>
      <c r="C800" s="27" t="s">
        <v>956</v>
      </c>
      <c r="D800" s="168">
        <v>1380</v>
      </c>
      <c r="E800" s="201">
        <v>44516</v>
      </c>
      <c r="F800" s="3"/>
    </row>
    <row r="801" spans="1:6" s="7" customFormat="1" ht="12.75">
      <c r="A801" s="1">
        <v>81</v>
      </c>
      <c r="B801" s="1" t="s">
        <v>518</v>
      </c>
      <c r="C801" s="27" t="s">
        <v>956</v>
      </c>
      <c r="D801" s="168">
        <v>1725</v>
      </c>
      <c r="E801" s="201">
        <v>44497</v>
      </c>
      <c r="F801" s="3"/>
    </row>
    <row r="802" spans="1:6" s="7" customFormat="1" ht="12.75">
      <c r="A802" s="1">
        <v>82</v>
      </c>
      <c r="B802" s="1" t="s">
        <v>518</v>
      </c>
      <c r="C802" s="27" t="s">
        <v>956</v>
      </c>
      <c r="D802" s="168">
        <v>1725</v>
      </c>
      <c r="E802" s="201">
        <v>44501</v>
      </c>
      <c r="F802" s="3"/>
    </row>
    <row r="803" spans="1:6" s="7" customFormat="1" ht="12.75">
      <c r="A803" s="1">
        <v>83</v>
      </c>
      <c r="B803" s="1" t="s">
        <v>900</v>
      </c>
      <c r="C803" s="27" t="s">
        <v>956</v>
      </c>
      <c r="D803" s="168">
        <v>690</v>
      </c>
      <c r="E803" s="201">
        <v>44509</v>
      </c>
      <c r="F803" s="8"/>
    </row>
    <row r="804" spans="1:6" s="7" customFormat="1" ht="12.75">
      <c r="A804" s="1">
        <v>84</v>
      </c>
      <c r="B804" s="1" t="s">
        <v>519</v>
      </c>
      <c r="C804" s="1" t="s">
        <v>1116</v>
      </c>
      <c r="D804" s="168">
        <f>53502.69+840350.99</f>
        <v>893853.6799999999</v>
      </c>
      <c r="E804" s="201">
        <v>44256</v>
      </c>
      <c r="F804" s="8"/>
    </row>
    <row r="805" spans="1:5" s="7" customFormat="1" ht="12.75">
      <c r="A805" s="1">
        <v>85</v>
      </c>
      <c r="B805" s="1" t="s">
        <v>519</v>
      </c>
      <c r="C805" s="27" t="s">
        <v>956</v>
      </c>
      <c r="D805" s="168">
        <v>1725</v>
      </c>
      <c r="E805" s="201">
        <v>44494</v>
      </c>
    </row>
    <row r="806" spans="1:5" s="7" customFormat="1" ht="12.75">
      <c r="A806" s="1">
        <v>86</v>
      </c>
      <c r="B806" s="1" t="s">
        <v>1117</v>
      </c>
      <c r="C806" s="27" t="s">
        <v>956</v>
      </c>
      <c r="D806" s="168">
        <v>1725</v>
      </c>
      <c r="E806" s="201">
        <v>44256</v>
      </c>
    </row>
    <row r="807" spans="1:5" s="7" customFormat="1" ht="12.75">
      <c r="A807" s="1">
        <v>87</v>
      </c>
      <c r="B807" s="1" t="s">
        <v>1118</v>
      </c>
      <c r="C807" s="27" t="s">
        <v>956</v>
      </c>
      <c r="D807" s="168">
        <v>1725</v>
      </c>
      <c r="E807" s="201">
        <v>44210</v>
      </c>
    </row>
    <row r="808" spans="1:5" s="7" customFormat="1" ht="12.75">
      <c r="A808" s="1">
        <v>88</v>
      </c>
      <c r="B808" s="1" t="s">
        <v>1119</v>
      </c>
      <c r="C808" s="27" t="s">
        <v>956</v>
      </c>
      <c r="D808" s="168">
        <v>890</v>
      </c>
      <c r="E808" s="201">
        <v>44231</v>
      </c>
    </row>
    <row r="809" spans="1:5" s="7" customFormat="1" ht="12.75">
      <c r="A809" s="1">
        <v>89</v>
      </c>
      <c r="B809" s="1" t="s">
        <v>521</v>
      </c>
      <c r="C809" s="27" t="s">
        <v>956</v>
      </c>
      <c r="D809" s="168">
        <v>1725</v>
      </c>
      <c r="E809" s="201">
        <v>44497</v>
      </c>
    </row>
    <row r="810" spans="1:5" s="7" customFormat="1" ht="12.75">
      <c r="A810" s="1">
        <v>90</v>
      </c>
      <c r="B810" s="1" t="s">
        <v>1120</v>
      </c>
      <c r="C810" s="27" t="s">
        <v>956</v>
      </c>
      <c r="D810" s="168">
        <v>1725</v>
      </c>
      <c r="E810" s="201">
        <v>44221</v>
      </c>
    </row>
    <row r="811" spans="1:5" s="7" customFormat="1" ht="12.75">
      <c r="A811" s="1">
        <v>91</v>
      </c>
      <c r="B811" s="1" t="s">
        <v>1121</v>
      </c>
      <c r="C811" s="1" t="s">
        <v>956</v>
      </c>
      <c r="D811" s="168">
        <v>1725</v>
      </c>
      <c r="E811" s="201">
        <v>44291</v>
      </c>
    </row>
    <row r="812" spans="1:5" s="7" customFormat="1" ht="12.75">
      <c r="A812" s="1">
        <v>92</v>
      </c>
      <c r="B812" s="1" t="s">
        <v>818</v>
      </c>
      <c r="C812" s="27" t="s">
        <v>956</v>
      </c>
      <c r="D812" s="168">
        <v>1035</v>
      </c>
      <c r="E812" s="201">
        <v>44516</v>
      </c>
    </row>
    <row r="813" spans="1:5" s="7" customFormat="1" ht="12.75">
      <c r="A813" s="1">
        <v>93</v>
      </c>
      <c r="B813" s="1" t="s">
        <v>917</v>
      </c>
      <c r="C813" s="27" t="s">
        <v>956</v>
      </c>
      <c r="D813" s="168">
        <v>690</v>
      </c>
      <c r="E813" s="201">
        <v>44522</v>
      </c>
    </row>
    <row r="814" spans="1:5" s="7" customFormat="1" ht="12.75">
      <c r="A814" s="1">
        <v>94</v>
      </c>
      <c r="B814" s="1" t="s">
        <v>603</v>
      </c>
      <c r="C814" s="27" t="s">
        <v>573</v>
      </c>
      <c r="D814" s="168">
        <v>42149.5</v>
      </c>
      <c r="E814" s="201">
        <v>44469</v>
      </c>
    </row>
    <row r="815" spans="1:5" s="7" customFormat="1" ht="12.75">
      <c r="A815" s="1">
        <v>95</v>
      </c>
      <c r="B815" s="1" t="s">
        <v>522</v>
      </c>
      <c r="C815" s="27" t="s">
        <v>956</v>
      </c>
      <c r="D815" s="168">
        <v>690</v>
      </c>
      <c r="E815" s="201">
        <v>44527</v>
      </c>
    </row>
    <row r="816" spans="1:5" s="7" customFormat="1" ht="12.75">
      <c r="A816" s="1">
        <v>96</v>
      </c>
      <c r="B816" s="1" t="s">
        <v>610</v>
      </c>
      <c r="C816" s="27" t="s">
        <v>573</v>
      </c>
      <c r="D816" s="168">
        <v>42149.5</v>
      </c>
      <c r="E816" s="201">
        <v>44469</v>
      </c>
    </row>
    <row r="817" spans="1:5" s="7" customFormat="1" ht="12.75">
      <c r="A817" s="1">
        <v>97</v>
      </c>
      <c r="B817" s="1" t="s">
        <v>610</v>
      </c>
      <c r="C817" s="27" t="s">
        <v>956</v>
      </c>
      <c r="D817" s="168">
        <v>690</v>
      </c>
      <c r="E817" s="201">
        <v>44509</v>
      </c>
    </row>
    <row r="818" spans="1:5" s="7" customFormat="1" ht="12.75">
      <c r="A818" s="1">
        <v>98</v>
      </c>
      <c r="B818" s="1" t="s">
        <v>1122</v>
      </c>
      <c r="C818" s="27" t="s">
        <v>956</v>
      </c>
      <c r="D818" s="168">
        <v>690</v>
      </c>
      <c r="E818" s="201">
        <v>44501</v>
      </c>
    </row>
    <row r="819" spans="1:5" s="7" customFormat="1" ht="12.75">
      <c r="A819" s="1">
        <v>99</v>
      </c>
      <c r="B819" s="1" t="s">
        <v>1123</v>
      </c>
      <c r="C819" s="1" t="s">
        <v>956</v>
      </c>
      <c r="D819" s="168">
        <v>690</v>
      </c>
      <c r="E819" s="201">
        <v>44281</v>
      </c>
    </row>
    <row r="820" spans="1:5" s="7" customFormat="1" ht="12.75">
      <c r="A820" s="1">
        <v>100</v>
      </c>
      <c r="B820" s="1" t="s">
        <v>1124</v>
      </c>
      <c r="C820" s="27" t="s">
        <v>956</v>
      </c>
      <c r="D820" s="168">
        <v>690</v>
      </c>
      <c r="E820" s="201">
        <v>44488</v>
      </c>
    </row>
    <row r="821" spans="1:5" s="7" customFormat="1" ht="12.75">
      <c r="A821" s="1">
        <v>101</v>
      </c>
      <c r="B821" s="1" t="s">
        <v>1125</v>
      </c>
      <c r="C821" s="1" t="s">
        <v>956</v>
      </c>
      <c r="D821" s="168">
        <v>690</v>
      </c>
      <c r="E821" s="201">
        <v>44264</v>
      </c>
    </row>
    <row r="822" spans="1:5" s="7" customFormat="1" ht="12.75">
      <c r="A822" s="1">
        <v>102</v>
      </c>
      <c r="B822" s="1" t="s">
        <v>1126</v>
      </c>
      <c r="C822" s="27" t="s">
        <v>956</v>
      </c>
      <c r="D822" s="168">
        <v>1035</v>
      </c>
      <c r="E822" s="201">
        <v>44494</v>
      </c>
    </row>
    <row r="823" spans="1:5" s="7" customFormat="1" ht="12.75">
      <c r="A823" s="1">
        <v>103</v>
      </c>
      <c r="B823" s="1" t="s">
        <v>1127</v>
      </c>
      <c r="C823" s="27" t="s">
        <v>956</v>
      </c>
      <c r="D823" s="168">
        <v>1035</v>
      </c>
      <c r="E823" s="214" t="s">
        <v>1102</v>
      </c>
    </row>
    <row r="824" spans="1:5" s="7" customFormat="1" ht="12.75">
      <c r="A824" s="1">
        <v>104</v>
      </c>
      <c r="B824" s="1" t="s">
        <v>1128</v>
      </c>
      <c r="C824" s="27" t="s">
        <v>956</v>
      </c>
      <c r="D824" s="168">
        <v>690</v>
      </c>
      <c r="E824" s="201">
        <v>44494</v>
      </c>
    </row>
    <row r="825" spans="1:5" s="7" customFormat="1" ht="12.75">
      <c r="A825" s="1">
        <v>105</v>
      </c>
      <c r="B825" s="1" t="s">
        <v>920</v>
      </c>
      <c r="C825" s="27" t="s">
        <v>956</v>
      </c>
      <c r="D825" s="168">
        <v>690</v>
      </c>
      <c r="E825" s="201">
        <v>44527</v>
      </c>
    </row>
    <row r="826" spans="1:5" s="7" customFormat="1" ht="12.75">
      <c r="A826" s="1">
        <v>106</v>
      </c>
      <c r="B826" s="1" t="s">
        <v>1129</v>
      </c>
      <c r="C826" s="27" t="s">
        <v>956</v>
      </c>
      <c r="D826" s="168">
        <v>690</v>
      </c>
      <c r="E826" s="201">
        <v>44488</v>
      </c>
    </row>
    <row r="827" spans="1:5" s="7" customFormat="1" ht="12.75">
      <c r="A827" s="1">
        <v>107</v>
      </c>
      <c r="B827" s="1" t="s">
        <v>1130</v>
      </c>
      <c r="C827" s="27" t="s">
        <v>956</v>
      </c>
      <c r="D827" s="168">
        <v>690</v>
      </c>
      <c r="E827" s="201">
        <v>44218</v>
      </c>
    </row>
    <row r="828" spans="1:5" s="7" customFormat="1" ht="12.75">
      <c r="A828" s="1">
        <v>108</v>
      </c>
      <c r="B828" s="1" t="s">
        <v>1131</v>
      </c>
      <c r="C828" s="27" t="s">
        <v>956</v>
      </c>
      <c r="D828" s="168">
        <v>690</v>
      </c>
      <c r="E828" s="201">
        <v>44509</v>
      </c>
    </row>
    <row r="829" spans="1:5" s="7" customFormat="1" ht="12.75">
      <c r="A829" s="1">
        <v>109</v>
      </c>
      <c r="B829" s="1" t="s">
        <v>525</v>
      </c>
      <c r="C829" s="27" t="s">
        <v>956</v>
      </c>
      <c r="D829" s="168">
        <v>1725</v>
      </c>
      <c r="E829" s="201">
        <v>44501</v>
      </c>
    </row>
    <row r="830" spans="1:5" s="7" customFormat="1" ht="12.75">
      <c r="A830" s="1">
        <v>110</v>
      </c>
      <c r="B830" s="1" t="s">
        <v>525</v>
      </c>
      <c r="C830" s="27" t="s">
        <v>956</v>
      </c>
      <c r="D830" s="168">
        <v>1725</v>
      </c>
      <c r="E830" s="201">
        <v>44509</v>
      </c>
    </row>
    <row r="831" spans="1:5" s="7" customFormat="1" ht="12.75">
      <c r="A831" s="1">
        <v>111</v>
      </c>
      <c r="B831" s="1" t="s">
        <v>1132</v>
      </c>
      <c r="C831" s="27" t="s">
        <v>956</v>
      </c>
      <c r="D831" s="168">
        <v>1725</v>
      </c>
      <c r="E831" s="201">
        <v>44215</v>
      </c>
    </row>
    <row r="832" spans="1:5" s="7" customFormat="1" ht="12.75">
      <c r="A832" s="1">
        <v>112</v>
      </c>
      <c r="B832" s="1" t="s">
        <v>1133</v>
      </c>
      <c r="C832" s="27" t="s">
        <v>956</v>
      </c>
      <c r="D832" s="168">
        <v>1035</v>
      </c>
      <c r="E832" s="201">
        <v>44224</v>
      </c>
    </row>
    <row r="833" spans="1:5" s="7" customFormat="1" ht="12.75">
      <c r="A833" s="1">
        <v>113</v>
      </c>
      <c r="B833" s="1" t="s">
        <v>618</v>
      </c>
      <c r="C833" s="1" t="s">
        <v>970</v>
      </c>
      <c r="D833" s="168">
        <v>116098</v>
      </c>
      <c r="E833" s="201">
        <v>44224</v>
      </c>
    </row>
    <row r="834" spans="1:5" s="7" customFormat="1" ht="12.75">
      <c r="A834" s="1">
        <v>114</v>
      </c>
      <c r="B834" s="1" t="s">
        <v>1134</v>
      </c>
      <c r="C834" s="27" t="s">
        <v>956</v>
      </c>
      <c r="D834" s="168">
        <v>1725</v>
      </c>
      <c r="E834" s="201">
        <v>44229</v>
      </c>
    </row>
    <row r="835" spans="1:5" s="7" customFormat="1" ht="12.75">
      <c r="A835" s="1">
        <v>115</v>
      </c>
      <c r="B835" s="1" t="s">
        <v>1135</v>
      </c>
      <c r="C835" s="27" t="s">
        <v>956</v>
      </c>
      <c r="D835" s="168">
        <v>1725</v>
      </c>
      <c r="E835" s="201">
        <v>44238</v>
      </c>
    </row>
    <row r="836" spans="1:5" s="7" customFormat="1" ht="12.75">
      <c r="A836" s="1">
        <v>116</v>
      </c>
      <c r="B836" s="1" t="s">
        <v>1136</v>
      </c>
      <c r="C836" s="27" t="s">
        <v>1137</v>
      </c>
      <c r="D836" s="168">
        <v>1000</v>
      </c>
      <c r="E836" s="201">
        <v>44362</v>
      </c>
    </row>
    <row r="837" spans="1:5" s="7" customFormat="1" ht="12.75">
      <c r="A837" s="1">
        <v>117</v>
      </c>
      <c r="B837" s="1" t="s">
        <v>1136</v>
      </c>
      <c r="C837" s="27" t="s">
        <v>956</v>
      </c>
      <c r="D837" s="168">
        <v>1725</v>
      </c>
      <c r="E837" s="201">
        <v>44509</v>
      </c>
    </row>
    <row r="838" spans="1:5" s="7" customFormat="1" ht="12.75">
      <c r="A838" s="1">
        <v>118</v>
      </c>
      <c r="B838" s="1" t="s">
        <v>1138</v>
      </c>
      <c r="C838" s="27" t="s">
        <v>956</v>
      </c>
      <c r="D838" s="168">
        <v>1725</v>
      </c>
      <c r="E838" s="201">
        <v>44488</v>
      </c>
    </row>
    <row r="839" spans="1:5" s="7" customFormat="1" ht="12.75">
      <c r="A839" s="1">
        <v>119</v>
      </c>
      <c r="B839" s="1" t="s">
        <v>1139</v>
      </c>
      <c r="C839" s="27" t="s">
        <v>956</v>
      </c>
      <c r="D839" s="168">
        <v>690</v>
      </c>
      <c r="E839" s="201">
        <v>44497</v>
      </c>
    </row>
    <row r="840" spans="1:5" s="7" customFormat="1" ht="12.75">
      <c r="A840" s="1">
        <v>120</v>
      </c>
      <c r="B840" s="1" t="s">
        <v>836</v>
      </c>
      <c r="C840" s="27" t="s">
        <v>956</v>
      </c>
      <c r="D840" s="168">
        <v>1725</v>
      </c>
      <c r="E840" s="201">
        <v>44494</v>
      </c>
    </row>
    <row r="841" spans="1:5" s="7" customFormat="1" ht="12.75">
      <c r="A841" s="1">
        <v>121</v>
      </c>
      <c r="B841" s="1" t="s">
        <v>836</v>
      </c>
      <c r="C841" s="27" t="s">
        <v>956</v>
      </c>
      <c r="D841" s="168">
        <v>1725</v>
      </c>
      <c r="E841" s="201">
        <v>44522</v>
      </c>
    </row>
    <row r="842" spans="1:5" s="7" customFormat="1" ht="12.75">
      <c r="A842" s="1">
        <v>122</v>
      </c>
      <c r="B842" s="1" t="s">
        <v>1140</v>
      </c>
      <c r="C842" s="1" t="s">
        <v>956</v>
      </c>
      <c r="D842" s="168">
        <v>1725</v>
      </c>
      <c r="E842" s="201">
        <v>44275</v>
      </c>
    </row>
    <row r="843" spans="1:5" s="7" customFormat="1" ht="12.75">
      <c r="A843" s="1">
        <v>123</v>
      </c>
      <c r="B843" s="1" t="s">
        <v>1141</v>
      </c>
      <c r="C843" s="1" t="s">
        <v>956</v>
      </c>
      <c r="D843" s="168">
        <v>1725</v>
      </c>
      <c r="E843" s="201">
        <v>44270</v>
      </c>
    </row>
    <row r="844" spans="1:5" s="7" customFormat="1" ht="12.75">
      <c r="A844" s="1">
        <v>124</v>
      </c>
      <c r="B844" s="1" t="s">
        <v>623</v>
      </c>
      <c r="C844" s="27" t="s">
        <v>1142</v>
      </c>
      <c r="D844" s="168">
        <v>3332.03</v>
      </c>
      <c r="E844" s="201">
        <v>44315</v>
      </c>
    </row>
    <row r="845" spans="1:5" s="7" customFormat="1" ht="12.75">
      <c r="A845" s="1">
        <v>125</v>
      </c>
      <c r="B845" s="1" t="s">
        <v>841</v>
      </c>
      <c r="C845" s="27" t="s">
        <v>956</v>
      </c>
      <c r="D845" s="168">
        <v>1725</v>
      </c>
      <c r="E845" s="201">
        <v>44497</v>
      </c>
    </row>
    <row r="846" spans="1:5" s="7" customFormat="1" ht="12.75">
      <c r="A846" s="1">
        <v>126</v>
      </c>
      <c r="B846" s="1" t="s">
        <v>841</v>
      </c>
      <c r="C846" s="27" t="s">
        <v>956</v>
      </c>
      <c r="D846" s="168">
        <v>1725</v>
      </c>
      <c r="E846" s="201">
        <v>44522</v>
      </c>
    </row>
    <row r="847" spans="1:5" s="7" customFormat="1" ht="12.75">
      <c r="A847" s="1">
        <v>127</v>
      </c>
      <c r="B847" s="1" t="s">
        <v>841</v>
      </c>
      <c r="C847" s="27" t="s">
        <v>573</v>
      </c>
      <c r="D847" s="168">
        <v>128996.52</v>
      </c>
      <c r="E847" s="201">
        <v>44547</v>
      </c>
    </row>
    <row r="848" spans="1:5" s="7" customFormat="1" ht="12.75">
      <c r="A848" s="1">
        <v>128</v>
      </c>
      <c r="B848" s="1" t="s">
        <v>1143</v>
      </c>
      <c r="C848" s="27" t="s">
        <v>956</v>
      </c>
      <c r="D848" s="168">
        <v>1725</v>
      </c>
      <c r="E848" s="201">
        <v>44488</v>
      </c>
    </row>
    <row r="849" spans="1:5" s="7" customFormat="1" ht="12.75">
      <c r="A849" s="1">
        <v>129</v>
      </c>
      <c r="B849" s="1" t="s">
        <v>1144</v>
      </c>
      <c r="C849" s="27" t="s">
        <v>956</v>
      </c>
      <c r="D849" s="168">
        <v>1725</v>
      </c>
      <c r="E849" s="201">
        <v>44215</v>
      </c>
    </row>
    <row r="850" spans="1:5" s="7" customFormat="1" ht="12.75">
      <c r="A850" s="1">
        <v>130</v>
      </c>
      <c r="B850" s="1" t="s">
        <v>1145</v>
      </c>
      <c r="C850" s="1" t="s">
        <v>956</v>
      </c>
      <c r="D850" s="168">
        <v>1725</v>
      </c>
      <c r="E850" s="201">
        <v>44270</v>
      </c>
    </row>
    <row r="851" spans="1:5" s="7" customFormat="1" ht="12.75">
      <c r="A851" s="1">
        <v>131</v>
      </c>
      <c r="B851" s="1" t="s">
        <v>1146</v>
      </c>
      <c r="C851" s="27" t="s">
        <v>956</v>
      </c>
      <c r="D851" s="168">
        <v>1725</v>
      </c>
      <c r="E851" s="201">
        <v>44210</v>
      </c>
    </row>
    <row r="852" spans="1:5" s="7" customFormat="1" ht="12.75">
      <c r="A852" s="1">
        <v>132</v>
      </c>
      <c r="B852" s="1" t="s">
        <v>1147</v>
      </c>
      <c r="C852" s="1" t="s">
        <v>956</v>
      </c>
      <c r="D852" s="168">
        <v>1725</v>
      </c>
      <c r="E852" s="201">
        <v>44270</v>
      </c>
    </row>
    <row r="853" spans="1:5" s="7" customFormat="1" ht="12.75">
      <c r="A853" s="1">
        <v>133</v>
      </c>
      <c r="B853" s="1" t="s">
        <v>1148</v>
      </c>
      <c r="C853" s="27" t="s">
        <v>956</v>
      </c>
      <c r="D853" s="168">
        <v>1725</v>
      </c>
      <c r="E853" s="201">
        <v>44516</v>
      </c>
    </row>
    <row r="854" spans="1:5" s="7" customFormat="1" ht="12.75">
      <c r="A854" s="1">
        <v>134</v>
      </c>
      <c r="B854" s="1" t="s">
        <v>1149</v>
      </c>
      <c r="C854" s="27" t="s">
        <v>956</v>
      </c>
      <c r="D854" s="168">
        <v>1725</v>
      </c>
      <c r="E854" s="201">
        <v>44516</v>
      </c>
    </row>
    <row r="855" spans="1:5" s="7" customFormat="1" ht="12.75">
      <c r="A855" s="1">
        <v>135</v>
      </c>
      <c r="B855" s="1" t="s">
        <v>1150</v>
      </c>
      <c r="C855" s="1" t="s">
        <v>510</v>
      </c>
      <c r="D855" s="168">
        <v>23490.93</v>
      </c>
      <c r="E855" s="201">
        <v>44284</v>
      </c>
    </row>
    <row r="856" spans="1:5" s="7" customFormat="1" ht="12.75">
      <c r="A856" s="1">
        <v>136</v>
      </c>
      <c r="B856" s="1" t="s">
        <v>1151</v>
      </c>
      <c r="C856" s="27" t="s">
        <v>956</v>
      </c>
      <c r="D856" s="168">
        <v>1725</v>
      </c>
      <c r="E856" s="214" t="s">
        <v>1102</v>
      </c>
    </row>
    <row r="857" spans="1:5" s="7" customFormat="1" ht="12.75">
      <c r="A857" s="1">
        <v>137</v>
      </c>
      <c r="B857" s="1" t="s">
        <v>1152</v>
      </c>
      <c r="C857" s="27" t="s">
        <v>956</v>
      </c>
      <c r="D857" s="168">
        <v>1725</v>
      </c>
      <c r="E857" s="201">
        <v>44224</v>
      </c>
    </row>
    <row r="858" spans="1:5" s="7" customFormat="1" ht="12.75">
      <c r="A858" s="1">
        <v>138</v>
      </c>
      <c r="B858" s="1" t="s">
        <v>1153</v>
      </c>
      <c r="C858" s="27" t="s">
        <v>956</v>
      </c>
      <c r="D858" s="168">
        <v>1725</v>
      </c>
      <c r="E858" s="201">
        <v>44488</v>
      </c>
    </row>
    <row r="859" spans="1:5" s="7" customFormat="1" ht="12.75">
      <c r="A859" s="1">
        <v>139</v>
      </c>
      <c r="B859" s="1" t="s">
        <v>531</v>
      </c>
      <c r="C859" s="27" t="s">
        <v>956</v>
      </c>
      <c r="D859" s="168">
        <v>1725</v>
      </c>
      <c r="E859" s="201">
        <v>44522</v>
      </c>
    </row>
    <row r="860" spans="1:5" s="7" customFormat="1" ht="12.75">
      <c r="A860" s="1">
        <v>140</v>
      </c>
      <c r="B860" s="1" t="s">
        <v>1154</v>
      </c>
      <c r="C860" s="27" t="s">
        <v>956</v>
      </c>
      <c r="D860" s="168">
        <v>1725</v>
      </c>
      <c r="E860" s="201">
        <v>44234</v>
      </c>
    </row>
    <row r="861" spans="1:5" s="7" customFormat="1" ht="12.75">
      <c r="A861" s="1">
        <v>141</v>
      </c>
      <c r="B861" s="1" t="s">
        <v>1155</v>
      </c>
      <c r="C861" s="27" t="s">
        <v>956</v>
      </c>
      <c r="D861" s="168">
        <v>1725</v>
      </c>
      <c r="E861" s="201">
        <v>44264</v>
      </c>
    </row>
    <row r="862" spans="1:5" s="7" customFormat="1" ht="12.75">
      <c r="A862" s="1">
        <v>142</v>
      </c>
      <c r="B862" s="1" t="s">
        <v>744</v>
      </c>
      <c r="C862" s="27" t="s">
        <v>1156</v>
      </c>
      <c r="D862" s="168">
        <v>47837.74</v>
      </c>
      <c r="E862" s="201">
        <v>44487</v>
      </c>
    </row>
    <row r="863" spans="1:5" s="7" customFormat="1" ht="12.75">
      <c r="A863" s="1">
        <v>143</v>
      </c>
      <c r="B863" s="1" t="s">
        <v>1157</v>
      </c>
      <c r="C863" s="27" t="s">
        <v>956</v>
      </c>
      <c r="D863" s="168">
        <v>1725</v>
      </c>
      <c r="E863" s="201">
        <v>44231</v>
      </c>
    </row>
    <row r="864" spans="1:5" s="7" customFormat="1" ht="12.75">
      <c r="A864" s="1">
        <v>144</v>
      </c>
      <c r="B864" s="1" t="s">
        <v>846</v>
      </c>
      <c r="C864" s="27" t="s">
        <v>970</v>
      </c>
      <c r="D864" s="168">
        <f>224010.2+40028.8</f>
        <v>264039</v>
      </c>
      <c r="E864" s="201">
        <v>44410</v>
      </c>
    </row>
    <row r="865" spans="1:5" s="7" customFormat="1" ht="12.75">
      <c r="A865" s="1">
        <v>145</v>
      </c>
      <c r="B865" s="1" t="s">
        <v>846</v>
      </c>
      <c r="C865" s="27" t="s">
        <v>956</v>
      </c>
      <c r="D865" s="168">
        <v>1725</v>
      </c>
      <c r="E865" s="201">
        <v>44497</v>
      </c>
    </row>
    <row r="866" spans="1:5" s="7" customFormat="1" ht="12.75">
      <c r="A866" s="1">
        <v>146</v>
      </c>
      <c r="B866" s="1" t="s">
        <v>846</v>
      </c>
      <c r="C866" s="27" t="s">
        <v>956</v>
      </c>
      <c r="D866" s="168">
        <v>1725</v>
      </c>
      <c r="E866" s="201">
        <v>44501</v>
      </c>
    </row>
    <row r="867" spans="1:5" s="7" customFormat="1" ht="12.75">
      <c r="A867" s="1">
        <v>147</v>
      </c>
      <c r="B867" s="1" t="s">
        <v>846</v>
      </c>
      <c r="C867" s="27" t="s">
        <v>956</v>
      </c>
      <c r="D867" s="168">
        <v>1725</v>
      </c>
      <c r="E867" s="201">
        <v>44501</v>
      </c>
    </row>
    <row r="868" spans="1:5" s="7" customFormat="1" ht="12.75">
      <c r="A868" s="1">
        <v>148</v>
      </c>
      <c r="B868" s="1" t="s">
        <v>1158</v>
      </c>
      <c r="C868" s="27" t="s">
        <v>956</v>
      </c>
      <c r="D868" s="168">
        <f>1725+1725</f>
        <v>3450</v>
      </c>
      <c r="E868" s="201">
        <v>44509</v>
      </c>
    </row>
    <row r="869" spans="1:5" s="7" customFormat="1" ht="12.75">
      <c r="A869" s="1">
        <v>149</v>
      </c>
      <c r="B869" s="1" t="s">
        <v>746</v>
      </c>
      <c r="C869" s="27" t="s">
        <v>573</v>
      </c>
      <c r="D869" s="168">
        <v>44386.28</v>
      </c>
      <c r="E869" s="201">
        <v>44469</v>
      </c>
    </row>
    <row r="870" spans="1:5" s="7" customFormat="1" ht="12.75">
      <c r="A870" s="1">
        <v>150</v>
      </c>
      <c r="B870" s="1" t="s">
        <v>746</v>
      </c>
      <c r="C870" s="27" t="s">
        <v>956</v>
      </c>
      <c r="D870" s="168">
        <v>1725</v>
      </c>
      <c r="E870" s="201">
        <v>44494</v>
      </c>
    </row>
    <row r="871" spans="1:5" s="7" customFormat="1" ht="12.75">
      <c r="A871" s="1">
        <v>151</v>
      </c>
      <c r="B871" s="1" t="s">
        <v>848</v>
      </c>
      <c r="C871" s="27" t="s">
        <v>573</v>
      </c>
      <c r="D871" s="168">
        <v>42149.5</v>
      </c>
      <c r="E871" s="201">
        <v>44469</v>
      </c>
    </row>
    <row r="872" spans="1:5" s="7" customFormat="1" ht="12.75">
      <c r="A872" s="1">
        <v>152</v>
      </c>
      <c r="B872" s="1" t="s">
        <v>749</v>
      </c>
      <c r="C872" s="27" t="s">
        <v>573</v>
      </c>
      <c r="D872" s="168">
        <v>44386.28</v>
      </c>
      <c r="E872" s="201">
        <v>44469</v>
      </c>
    </row>
    <row r="873" spans="1:5" s="7" customFormat="1" ht="12.75">
      <c r="A873" s="1">
        <v>153</v>
      </c>
      <c r="B873" s="1" t="s">
        <v>749</v>
      </c>
      <c r="C873" s="27" t="s">
        <v>956</v>
      </c>
      <c r="D873" s="168">
        <v>1725</v>
      </c>
      <c r="E873" s="201">
        <v>44501</v>
      </c>
    </row>
    <row r="874" spans="1:5" s="7" customFormat="1" ht="12.75">
      <c r="A874" s="1">
        <v>154</v>
      </c>
      <c r="B874" s="1" t="s">
        <v>749</v>
      </c>
      <c r="C874" s="27" t="s">
        <v>956</v>
      </c>
      <c r="D874" s="168">
        <v>1725</v>
      </c>
      <c r="E874" s="201">
        <v>44527</v>
      </c>
    </row>
    <row r="875" spans="1:5" s="7" customFormat="1" ht="12.75">
      <c r="A875" s="1">
        <v>155</v>
      </c>
      <c r="B875" s="1" t="s">
        <v>1159</v>
      </c>
      <c r="C875" s="27" t="s">
        <v>956</v>
      </c>
      <c r="D875" s="168">
        <v>1725</v>
      </c>
      <c r="E875" s="201">
        <v>44256</v>
      </c>
    </row>
    <row r="876" spans="1:5" s="7" customFormat="1" ht="12.75">
      <c r="A876" s="1">
        <v>156</v>
      </c>
      <c r="B876" s="1" t="s">
        <v>1160</v>
      </c>
      <c r="C876" s="27" t="s">
        <v>956</v>
      </c>
      <c r="D876" s="168">
        <v>1725</v>
      </c>
      <c r="E876" s="201">
        <v>44210</v>
      </c>
    </row>
    <row r="877" spans="1:5" s="7" customFormat="1" ht="12.75">
      <c r="A877" s="1">
        <v>157</v>
      </c>
      <c r="B877" s="1" t="s">
        <v>1161</v>
      </c>
      <c r="C877" s="27" t="s">
        <v>956</v>
      </c>
      <c r="D877" s="168">
        <v>1725</v>
      </c>
      <c r="E877" s="201">
        <v>44488</v>
      </c>
    </row>
    <row r="878" spans="1:5" s="7" customFormat="1" ht="12.75">
      <c r="A878" s="1">
        <v>158</v>
      </c>
      <c r="B878" s="1" t="s">
        <v>1162</v>
      </c>
      <c r="C878" s="27" t="s">
        <v>956</v>
      </c>
      <c r="D878" s="168">
        <v>1725</v>
      </c>
      <c r="E878" s="201">
        <v>44210</v>
      </c>
    </row>
    <row r="879" spans="1:5" s="7" customFormat="1" ht="12.75">
      <c r="A879" s="1">
        <v>159</v>
      </c>
      <c r="B879" s="1" t="s">
        <v>627</v>
      </c>
      <c r="C879" s="27" t="s">
        <v>956</v>
      </c>
      <c r="D879" s="168">
        <v>690</v>
      </c>
      <c r="E879" s="201">
        <v>44527</v>
      </c>
    </row>
    <row r="880" spans="1:5" s="7" customFormat="1" ht="12.75">
      <c r="A880" s="1">
        <v>160</v>
      </c>
      <c r="B880" s="1" t="s">
        <v>1163</v>
      </c>
      <c r="C880" s="27" t="s">
        <v>956</v>
      </c>
      <c r="D880" s="168">
        <v>690</v>
      </c>
      <c r="E880" s="201">
        <v>44516</v>
      </c>
    </row>
    <row r="881" spans="1:5" s="7" customFormat="1" ht="12.75">
      <c r="A881" s="1">
        <v>161</v>
      </c>
      <c r="B881" s="1" t="s">
        <v>1164</v>
      </c>
      <c r="C881" s="27" t="s">
        <v>956</v>
      </c>
      <c r="D881" s="168">
        <v>690</v>
      </c>
      <c r="E881" s="201">
        <v>44497</v>
      </c>
    </row>
    <row r="882" spans="1:5" s="7" customFormat="1" ht="12.75">
      <c r="A882" s="1">
        <v>162</v>
      </c>
      <c r="B882" s="1" t="s">
        <v>850</v>
      </c>
      <c r="C882" s="27" t="s">
        <v>956</v>
      </c>
      <c r="D882" s="168">
        <v>690</v>
      </c>
      <c r="E882" s="201">
        <v>44522</v>
      </c>
    </row>
    <row r="883" spans="1:5" s="7" customFormat="1" ht="12.75">
      <c r="A883" s="1">
        <v>163</v>
      </c>
      <c r="B883" s="1" t="s">
        <v>1165</v>
      </c>
      <c r="C883" s="27" t="s">
        <v>956</v>
      </c>
      <c r="D883" s="168">
        <v>1035</v>
      </c>
      <c r="E883" s="201">
        <v>44242</v>
      </c>
    </row>
    <row r="884" spans="1:5" s="7" customFormat="1" ht="12.75">
      <c r="A884" s="1">
        <v>164</v>
      </c>
      <c r="B884" s="1" t="s">
        <v>1166</v>
      </c>
      <c r="C884" s="27" t="s">
        <v>956</v>
      </c>
      <c r="D884" s="168">
        <v>1380</v>
      </c>
      <c r="E884" s="201">
        <v>44243</v>
      </c>
    </row>
    <row r="885" spans="1:5" s="7" customFormat="1" ht="12.75">
      <c r="A885" s="1">
        <v>165</v>
      </c>
      <c r="B885" s="1" t="s">
        <v>1167</v>
      </c>
      <c r="C885" s="27" t="s">
        <v>956</v>
      </c>
      <c r="D885" s="168">
        <v>1380</v>
      </c>
      <c r="E885" s="201">
        <v>44224</v>
      </c>
    </row>
    <row r="886" spans="1:5" s="7" customFormat="1" ht="12.75">
      <c r="A886" s="1">
        <v>166</v>
      </c>
      <c r="B886" s="1" t="s">
        <v>929</v>
      </c>
      <c r="C886" s="27" t="s">
        <v>956</v>
      </c>
      <c r="D886" s="168">
        <v>690</v>
      </c>
      <c r="E886" s="201">
        <v>44494</v>
      </c>
    </row>
    <row r="887" spans="1:5" s="7" customFormat="1" ht="12.75">
      <c r="A887" s="1">
        <v>167</v>
      </c>
      <c r="B887" s="1" t="s">
        <v>1168</v>
      </c>
      <c r="C887" s="27" t="s">
        <v>956</v>
      </c>
      <c r="D887" s="168">
        <v>1380</v>
      </c>
      <c r="E887" s="201">
        <v>44494</v>
      </c>
    </row>
    <row r="888" spans="1:5" s="7" customFormat="1" ht="12.75">
      <c r="A888" s="1">
        <v>168</v>
      </c>
      <c r="B888" s="1" t="s">
        <v>1168</v>
      </c>
      <c r="C888" s="27" t="s">
        <v>956</v>
      </c>
      <c r="D888" s="168">
        <v>1380</v>
      </c>
      <c r="E888" s="201">
        <v>44522</v>
      </c>
    </row>
    <row r="889" spans="1:5" s="7" customFormat="1" ht="12.75">
      <c r="A889" s="1">
        <v>169</v>
      </c>
      <c r="B889" s="1" t="s">
        <v>1169</v>
      </c>
      <c r="C889" s="27" t="s">
        <v>956</v>
      </c>
      <c r="D889" s="168">
        <v>1380</v>
      </c>
      <c r="E889" s="201">
        <v>44251</v>
      </c>
    </row>
    <row r="890" spans="1:5" s="7" customFormat="1" ht="12.75">
      <c r="A890" s="1">
        <v>170</v>
      </c>
      <c r="B890" s="1" t="s">
        <v>1170</v>
      </c>
      <c r="C890" s="27" t="s">
        <v>956</v>
      </c>
      <c r="D890" s="168">
        <v>1035</v>
      </c>
      <c r="E890" s="201">
        <v>44210</v>
      </c>
    </row>
    <row r="891" spans="1:5" s="7" customFormat="1" ht="12.75">
      <c r="A891" s="1">
        <v>171</v>
      </c>
      <c r="B891" s="1" t="s">
        <v>931</v>
      </c>
      <c r="C891" s="27" t="s">
        <v>956</v>
      </c>
      <c r="D891" s="168">
        <v>690</v>
      </c>
      <c r="E891" s="201">
        <v>44497</v>
      </c>
    </row>
    <row r="892" spans="1:5" s="7" customFormat="1" ht="12.75">
      <c r="A892" s="1">
        <v>172</v>
      </c>
      <c r="B892" s="1" t="s">
        <v>534</v>
      </c>
      <c r="C892" s="27" t="s">
        <v>1171</v>
      </c>
      <c r="D892" s="168">
        <v>7157</v>
      </c>
      <c r="E892" s="201">
        <v>44551</v>
      </c>
    </row>
    <row r="893" spans="1:5" s="7" customFormat="1" ht="12.75">
      <c r="A893" s="1">
        <v>173</v>
      </c>
      <c r="B893" s="1" t="s">
        <v>1172</v>
      </c>
      <c r="C893" s="27" t="s">
        <v>956</v>
      </c>
      <c r="D893" s="168">
        <v>690</v>
      </c>
      <c r="E893" s="201">
        <v>44494</v>
      </c>
    </row>
    <row r="894" spans="1:5" s="7" customFormat="1" ht="12.75">
      <c r="A894" s="1">
        <v>174</v>
      </c>
      <c r="B894" s="1" t="s">
        <v>752</v>
      </c>
      <c r="C894" s="27" t="s">
        <v>573</v>
      </c>
      <c r="D894" s="168">
        <v>44386.28</v>
      </c>
      <c r="E894" s="201">
        <v>44546</v>
      </c>
    </row>
    <row r="895" spans="1:5" s="7" customFormat="1" ht="12.75">
      <c r="A895" s="1">
        <v>175</v>
      </c>
      <c r="B895" s="1" t="s">
        <v>635</v>
      </c>
      <c r="C895" s="27" t="s">
        <v>573</v>
      </c>
      <c r="D895" s="168">
        <v>42149.5</v>
      </c>
      <c r="E895" s="201">
        <v>44469</v>
      </c>
    </row>
    <row r="896" spans="1:5" s="7" customFormat="1" ht="12.75">
      <c r="A896" s="1">
        <v>176</v>
      </c>
      <c r="B896" s="1" t="s">
        <v>635</v>
      </c>
      <c r="C896" s="27" t="s">
        <v>956</v>
      </c>
      <c r="D896" s="168">
        <v>690</v>
      </c>
      <c r="E896" s="201">
        <v>44509</v>
      </c>
    </row>
    <row r="897" spans="1:5" s="7" customFormat="1" ht="12.75">
      <c r="A897" s="1">
        <v>177</v>
      </c>
      <c r="B897" s="1" t="s">
        <v>1173</v>
      </c>
      <c r="C897" s="27" t="s">
        <v>956</v>
      </c>
      <c r="D897" s="168">
        <v>690</v>
      </c>
      <c r="E897" s="201">
        <v>44210</v>
      </c>
    </row>
    <row r="898" spans="1:5" s="7" customFormat="1" ht="12.75">
      <c r="A898" s="1">
        <v>178</v>
      </c>
      <c r="B898" s="1" t="s">
        <v>1174</v>
      </c>
      <c r="C898" s="27" t="s">
        <v>956</v>
      </c>
      <c r="D898" s="168">
        <v>690</v>
      </c>
      <c r="E898" s="201">
        <v>44215</v>
      </c>
    </row>
    <row r="899" spans="1:5" s="7" customFormat="1" ht="12.75">
      <c r="A899" s="1">
        <v>179</v>
      </c>
      <c r="B899" s="1" t="s">
        <v>1175</v>
      </c>
      <c r="C899" s="27" t="s">
        <v>956</v>
      </c>
      <c r="D899" s="168">
        <v>1035</v>
      </c>
      <c r="E899" s="201">
        <v>44494</v>
      </c>
    </row>
    <row r="900" spans="1:5" s="7" customFormat="1" ht="12.75">
      <c r="A900" s="1">
        <v>180</v>
      </c>
      <c r="B900" s="1" t="s">
        <v>1176</v>
      </c>
      <c r="C900" s="27" t="s">
        <v>956</v>
      </c>
      <c r="D900" s="168">
        <v>690</v>
      </c>
      <c r="E900" s="201">
        <v>44215</v>
      </c>
    </row>
    <row r="901" spans="1:5" s="7" customFormat="1" ht="12.75">
      <c r="A901" s="1">
        <v>181</v>
      </c>
      <c r="B901" s="1" t="s">
        <v>535</v>
      </c>
      <c r="C901" s="27" t="s">
        <v>956</v>
      </c>
      <c r="D901" s="168">
        <v>1725</v>
      </c>
      <c r="E901" s="201">
        <v>44497</v>
      </c>
    </row>
    <row r="902" spans="1:5" s="7" customFormat="1" ht="12.75">
      <c r="A902" s="1">
        <v>182</v>
      </c>
      <c r="B902" s="1" t="s">
        <v>535</v>
      </c>
      <c r="C902" s="27" t="s">
        <v>956</v>
      </c>
      <c r="D902" s="168">
        <v>1725</v>
      </c>
      <c r="E902" s="201">
        <v>44509</v>
      </c>
    </row>
    <row r="903" spans="1:5" s="7" customFormat="1" ht="12.75">
      <c r="A903" s="1">
        <v>183</v>
      </c>
      <c r="B903" s="1" t="s">
        <v>535</v>
      </c>
      <c r="C903" s="27" t="s">
        <v>956</v>
      </c>
      <c r="D903" s="168">
        <v>1725</v>
      </c>
      <c r="E903" s="201">
        <v>44522</v>
      </c>
    </row>
    <row r="904" spans="1:5" s="7" customFormat="1" ht="12.75">
      <c r="A904" s="1">
        <v>184</v>
      </c>
      <c r="B904" s="1" t="s">
        <v>1177</v>
      </c>
      <c r="C904" s="27" t="s">
        <v>1178</v>
      </c>
      <c r="D904" s="168">
        <v>120001.89</v>
      </c>
      <c r="E904" s="201">
        <v>44348</v>
      </c>
    </row>
    <row r="905" spans="1:5" s="7" customFormat="1" ht="12.75">
      <c r="A905" s="1">
        <v>185</v>
      </c>
      <c r="B905" s="1" t="s">
        <v>637</v>
      </c>
      <c r="C905" s="27" t="s">
        <v>956</v>
      </c>
      <c r="D905" s="168">
        <v>1035</v>
      </c>
      <c r="E905" s="201">
        <v>44494</v>
      </c>
    </row>
    <row r="906" spans="1:5" s="7" customFormat="1" ht="12.75">
      <c r="A906" s="1">
        <v>186</v>
      </c>
      <c r="B906" s="1" t="s">
        <v>637</v>
      </c>
      <c r="C906" s="27" t="s">
        <v>956</v>
      </c>
      <c r="D906" s="168">
        <v>1035</v>
      </c>
      <c r="E906" s="201">
        <v>44501</v>
      </c>
    </row>
    <row r="907" spans="1:5" s="7" customFormat="1" ht="12.75">
      <c r="A907" s="1">
        <v>187</v>
      </c>
      <c r="B907" s="1" t="s">
        <v>637</v>
      </c>
      <c r="C907" s="27" t="s">
        <v>956</v>
      </c>
      <c r="D907" s="168">
        <v>1035</v>
      </c>
      <c r="E907" s="201">
        <v>44522</v>
      </c>
    </row>
    <row r="908" spans="1:5" s="7" customFormat="1" ht="12.75">
      <c r="A908" s="1">
        <v>188</v>
      </c>
      <c r="B908" s="1" t="s">
        <v>1179</v>
      </c>
      <c r="C908" s="27" t="s">
        <v>956</v>
      </c>
      <c r="D908" s="168">
        <v>1035</v>
      </c>
      <c r="E908" s="201">
        <v>44210</v>
      </c>
    </row>
    <row r="909" spans="1:5" s="7" customFormat="1" ht="12.75">
      <c r="A909" s="1">
        <v>189</v>
      </c>
      <c r="B909" s="1" t="s">
        <v>1179</v>
      </c>
      <c r="C909" s="27" t="s">
        <v>956</v>
      </c>
      <c r="D909" s="168">
        <v>1035</v>
      </c>
      <c r="E909" s="201">
        <v>44215</v>
      </c>
    </row>
    <row r="910" spans="1:5" s="7" customFormat="1" ht="12.75">
      <c r="A910" s="1">
        <v>190</v>
      </c>
      <c r="B910" s="1" t="s">
        <v>1180</v>
      </c>
      <c r="C910" s="27" t="s">
        <v>956</v>
      </c>
      <c r="D910" s="168">
        <v>690</v>
      </c>
      <c r="E910" s="201">
        <v>44494</v>
      </c>
    </row>
    <row r="911" spans="1:5" s="7" customFormat="1" ht="12.75">
      <c r="A911" s="1">
        <v>191</v>
      </c>
      <c r="B911" s="1" t="s">
        <v>936</v>
      </c>
      <c r="C911" s="27" t="s">
        <v>956</v>
      </c>
      <c r="D911" s="168">
        <v>690</v>
      </c>
      <c r="E911" s="201">
        <v>44522</v>
      </c>
    </row>
    <row r="912" spans="1:5" s="7" customFormat="1" ht="12.75">
      <c r="A912" s="1">
        <v>192</v>
      </c>
      <c r="B912" s="1" t="s">
        <v>862</v>
      </c>
      <c r="C912" s="27" t="s">
        <v>956</v>
      </c>
      <c r="D912" s="168">
        <v>690</v>
      </c>
      <c r="E912" s="201">
        <v>44494</v>
      </c>
    </row>
    <row r="913" spans="1:5" s="7" customFormat="1" ht="12.75">
      <c r="A913" s="1">
        <v>193</v>
      </c>
      <c r="B913" s="1" t="s">
        <v>1013</v>
      </c>
      <c r="C913" s="27" t="s">
        <v>956</v>
      </c>
      <c r="D913" s="168">
        <v>690</v>
      </c>
      <c r="E913" s="201">
        <v>44522</v>
      </c>
    </row>
    <row r="914" spans="1:5" s="7" customFormat="1" ht="12.75">
      <c r="A914" s="1">
        <v>194</v>
      </c>
      <c r="B914" s="1" t="s">
        <v>538</v>
      </c>
      <c r="C914" s="27" t="s">
        <v>956</v>
      </c>
      <c r="D914" s="168">
        <v>1035</v>
      </c>
      <c r="E914" s="201">
        <v>44497</v>
      </c>
    </row>
    <row r="915" spans="1:5" s="7" customFormat="1" ht="12.75">
      <c r="A915" s="1">
        <v>195</v>
      </c>
      <c r="B915" s="1" t="s">
        <v>538</v>
      </c>
      <c r="C915" s="27" t="s">
        <v>956</v>
      </c>
      <c r="D915" s="168">
        <v>1035</v>
      </c>
      <c r="E915" s="201">
        <v>44516</v>
      </c>
    </row>
    <row r="916" spans="1:5" s="7" customFormat="1" ht="12.75">
      <c r="A916" s="1">
        <v>196</v>
      </c>
      <c r="B916" s="1" t="s">
        <v>1181</v>
      </c>
      <c r="C916" s="27" t="s">
        <v>956</v>
      </c>
      <c r="D916" s="168">
        <v>1035</v>
      </c>
      <c r="E916" s="201">
        <v>44527</v>
      </c>
    </row>
    <row r="917" spans="1:5" s="7" customFormat="1" ht="12.75">
      <c r="A917" s="1">
        <v>197</v>
      </c>
      <c r="B917" s="1" t="s">
        <v>1182</v>
      </c>
      <c r="C917" s="27" t="s">
        <v>956</v>
      </c>
      <c r="D917" s="168">
        <v>1035</v>
      </c>
      <c r="E917" s="201">
        <v>44210</v>
      </c>
    </row>
    <row r="918" spans="1:5" s="7" customFormat="1" ht="12.75">
      <c r="A918" s="1">
        <v>198</v>
      </c>
      <c r="B918" s="1" t="s">
        <v>1183</v>
      </c>
      <c r="C918" s="27" t="s">
        <v>956</v>
      </c>
      <c r="D918" s="168">
        <v>1035</v>
      </c>
      <c r="E918" s="201">
        <v>44238</v>
      </c>
    </row>
    <row r="919" spans="1:5" s="7" customFormat="1" ht="12.75">
      <c r="A919" s="1">
        <v>199</v>
      </c>
      <c r="B919" s="1" t="s">
        <v>1184</v>
      </c>
      <c r="C919" s="27" t="s">
        <v>956</v>
      </c>
      <c r="D919" s="168">
        <v>1035</v>
      </c>
      <c r="E919" s="201">
        <v>44210</v>
      </c>
    </row>
    <row r="920" spans="1:5" s="7" customFormat="1" ht="12.75">
      <c r="A920" s="1">
        <v>200</v>
      </c>
      <c r="B920" s="1" t="s">
        <v>1184</v>
      </c>
      <c r="C920" s="27" t="s">
        <v>956</v>
      </c>
      <c r="D920" s="168">
        <v>1035</v>
      </c>
      <c r="E920" s="201">
        <v>44494</v>
      </c>
    </row>
    <row r="921" spans="1:5" s="7" customFormat="1" ht="12.75">
      <c r="A921" s="1">
        <v>201</v>
      </c>
      <c r="B921" s="1" t="s">
        <v>654</v>
      </c>
      <c r="C921" s="27" t="s">
        <v>956</v>
      </c>
      <c r="D921" s="168">
        <v>690</v>
      </c>
      <c r="E921" s="201">
        <v>44494</v>
      </c>
    </row>
    <row r="922" spans="1:5" s="7" customFormat="1" ht="12.75">
      <c r="A922" s="1">
        <v>202</v>
      </c>
      <c r="B922" s="1" t="s">
        <v>1185</v>
      </c>
      <c r="C922" s="27" t="s">
        <v>956</v>
      </c>
      <c r="D922" s="168">
        <v>690</v>
      </c>
      <c r="E922" s="201">
        <v>44494</v>
      </c>
    </row>
    <row r="923" spans="1:5" s="7" customFormat="1" ht="12.75">
      <c r="A923" s="1">
        <v>203</v>
      </c>
      <c r="B923" s="1" t="s">
        <v>756</v>
      </c>
      <c r="C923" s="27" t="s">
        <v>573</v>
      </c>
      <c r="D923" s="168">
        <v>46075.19</v>
      </c>
      <c r="E923" s="201">
        <v>44469</v>
      </c>
    </row>
    <row r="924" spans="1:5" s="7" customFormat="1" ht="12.75">
      <c r="A924" s="1">
        <v>204</v>
      </c>
      <c r="B924" s="1" t="s">
        <v>756</v>
      </c>
      <c r="C924" s="27" t="s">
        <v>956</v>
      </c>
      <c r="D924" s="168">
        <v>1725</v>
      </c>
      <c r="E924" s="201">
        <v>44509</v>
      </c>
    </row>
    <row r="925" spans="1:5" s="7" customFormat="1" ht="12.75">
      <c r="A925" s="1">
        <v>205</v>
      </c>
      <c r="B925" s="1" t="s">
        <v>756</v>
      </c>
      <c r="C925" s="27" t="s">
        <v>956</v>
      </c>
      <c r="D925" s="168">
        <v>1725</v>
      </c>
      <c r="E925" s="201">
        <v>44522</v>
      </c>
    </row>
    <row r="926" spans="1:5" s="7" customFormat="1" ht="12.75">
      <c r="A926" s="1">
        <v>206</v>
      </c>
      <c r="B926" s="1" t="s">
        <v>1186</v>
      </c>
      <c r="C926" s="27" t="s">
        <v>956</v>
      </c>
      <c r="D926" s="168">
        <v>1725</v>
      </c>
      <c r="E926" s="201">
        <v>44527</v>
      </c>
    </row>
    <row r="927" spans="1:5" s="7" customFormat="1" ht="12.75">
      <c r="A927" s="1">
        <v>207</v>
      </c>
      <c r="B927" s="1" t="s">
        <v>1187</v>
      </c>
      <c r="C927" s="1" t="s">
        <v>956</v>
      </c>
      <c r="D927" s="168">
        <v>1725</v>
      </c>
      <c r="E927" s="201">
        <v>44275</v>
      </c>
    </row>
    <row r="928" spans="1:5" s="7" customFormat="1" ht="12.75">
      <c r="A928" s="1">
        <v>208</v>
      </c>
      <c r="B928" s="1" t="s">
        <v>1188</v>
      </c>
      <c r="C928" s="27" t="s">
        <v>956</v>
      </c>
      <c r="D928" s="168">
        <v>1725</v>
      </c>
      <c r="E928" s="201">
        <v>44231</v>
      </c>
    </row>
    <row r="929" spans="1:5" s="7" customFormat="1" ht="12.75">
      <c r="A929" s="1">
        <v>209</v>
      </c>
      <c r="B929" s="1" t="s">
        <v>867</v>
      </c>
      <c r="C929" s="27" t="s">
        <v>956</v>
      </c>
      <c r="D929" s="168">
        <v>1725</v>
      </c>
      <c r="E929" s="201">
        <v>44501</v>
      </c>
    </row>
    <row r="930" spans="1:5" s="7" customFormat="1" ht="12.75">
      <c r="A930" s="1">
        <v>210</v>
      </c>
      <c r="B930" s="1" t="s">
        <v>1189</v>
      </c>
      <c r="C930" s="27" t="s">
        <v>956</v>
      </c>
      <c r="D930" s="168">
        <v>1725</v>
      </c>
      <c r="E930" s="201">
        <v>44210</v>
      </c>
    </row>
    <row r="931" spans="1:5" s="7" customFormat="1" ht="12.75">
      <c r="A931" s="1">
        <v>211</v>
      </c>
      <c r="B931" s="1" t="s">
        <v>758</v>
      </c>
      <c r="C931" s="27" t="s">
        <v>573</v>
      </c>
      <c r="D931" s="168">
        <v>112459.65</v>
      </c>
      <c r="E931" s="201">
        <v>44547</v>
      </c>
    </row>
    <row r="932" spans="1:5" s="7" customFormat="1" ht="12.75">
      <c r="A932" s="1">
        <v>212</v>
      </c>
      <c r="B932" s="1" t="s">
        <v>1190</v>
      </c>
      <c r="C932" s="27" t="s">
        <v>1178</v>
      </c>
      <c r="D932" s="168">
        <f>104429.96+238940.04</f>
        <v>343370</v>
      </c>
      <c r="E932" s="201">
        <v>44342</v>
      </c>
    </row>
    <row r="933" spans="1:5" s="7" customFormat="1" ht="12.75">
      <c r="A933" s="1">
        <v>213</v>
      </c>
      <c r="B933" s="1" t="s">
        <v>1191</v>
      </c>
      <c r="C933" s="27" t="s">
        <v>956</v>
      </c>
      <c r="D933" s="168">
        <v>1725</v>
      </c>
      <c r="E933" s="201">
        <v>44215</v>
      </c>
    </row>
    <row r="934" spans="1:5" s="7" customFormat="1" ht="12.75">
      <c r="A934" s="1">
        <v>214</v>
      </c>
      <c r="B934" s="1" t="s">
        <v>760</v>
      </c>
      <c r="C934" s="27" t="s">
        <v>956</v>
      </c>
      <c r="D934" s="168">
        <v>1725</v>
      </c>
      <c r="E934" s="201">
        <v>44501</v>
      </c>
    </row>
    <row r="935" spans="1:5" s="7" customFormat="1" ht="12.75">
      <c r="A935" s="1">
        <v>215</v>
      </c>
      <c r="B935" s="1" t="s">
        <v>760</v>
      </c>
      <c r="C935" s="27" t="s">
        <v>573</v>
      </c>
      <c r="D935" s="168">
        <v>42149.5</v>
      </c>
      <c r="E935" s="201">
        <v>44550</v>
      </c>
    </row>
    <row r="936" spans="1:5" s="7" customFormat="1" ht="12.75">
      <c r="A936" s="1">
        <v>216</v>
      </c>
      <c r="B936" s="1" t="s">
        <v>761</v>
      </c>
      <c r="C936" s="27" t="s">
        <v>1192</v>
      </c>
      <c r="D936" s="168">
        <v>17484.71</v>
      </c>
      <c r="E936" s="201">
        <v>43069</v>
      </c>
    </row>
    <row r="937" spans="1:5" s="7" customFormat="1" ht="12.75">
      <c r="A937" s="1">
        <v>217</v>
      </c>
      <c r="B937" s="1" t="s">
        <v>764</v>
      </c>
      <c r="C937" s="27" t="s">
        <v>1192</v>
      </c>
      <c r="D937" s="168">
        <f>11025.44+2403+4802.97</f>
        <v>18231.41</v>
      </c>
      <c r="E937" s="201">
        <v>43069</v>
      </c>
    </row>
    <row r="938" spans="1:5" s="7" customFormat="1" ht="12.75">
      <c r="A938" s="1">
        <v>218</v>
      </c>
      <c r="B938" s="1" t="s">
        <v>1193</v>
      </c>
      <c r="C938" s="27" t="s">
        <v>956</v>
      </c>
      <c r="D938" s="168">
        <v>1035</v>
      </c>
      <c r="E938" s="214" t="s">
        <v>1102</v>
      </c>
    </row>
    <row r="939" spans="1:5" s="7" customFormat="1" ht="12.75">
      <c r="A939" s="1">
        <v>219</v>
      </c>
      <c r="B939" s="1" t="s">
        <v>1194</v>
      </c>
      <c r="C939" s="27" t="s">
        <v>956</v>
      </c>
      <c r="D939" s="168">
        <v>1035</v>
      </c>
      <c r="E939" s="201">
        <v>44527</v>
      </c>
    </row>
    <row r="940" spans="1:5" s="7" customFormat="1" ht="12.75">
      <c r="A940" s="1">
        <v>220</v>
      </c>
      <c r="B940" s="1" t="s">
        <v>765</v>
      </c>
      <c r="C940" s="27" t="s">
        <v>1192</v>
      </c>
      <c r="D940" s="168">
        <v>12704.66</v>
      </c>
      <c r="E940" s="201">
        <v>43069</v>
      </c>
    </row>
    <row r="941" spans="1:5" s="7" customFormat="1" ht="12.75">
      <c r="A941" s="1">
        <v>221</v>
      </c>
      <c r="B941" s="1" t="s">
        <v>766</v>
      </c>
      <c r="C941" s="27" t="s">
        <v>956</v>
      </c>
      <c r="D941" s="168">
        <v>1035</v>
      </c>
      <c r="E941" s="201">
        <v>44522</v>
      </c>
    </row>
    <row r="942" spans="1:5" s="7" customFormat="1" ht="12.75">
      <c r="A942" s="1">
        <v>222</v>
      </c>
      <c r="B942" s="1" t="s">
        <v>539</v>
      </c>
      <c r="C942" s="27" t="s">
        <v>1192</v>
      </c>
      <c r="D942" s="168">
        <v>12674.29</v>
      </c>
      <c r="E942" s="201">
        <v>43069</v>
      </c>
    </row>
    <row r="943" spans="1:5" s="7" customFormat="1" ht="12.75">
      <c r="A943" s="1">
        <v>223</v>
      </c>
      <c r="B943" s="1" t="s">
        <v>539</v>
      </c>
      <c r="C943" s="27" t="s">
        <v>956</v>
      </c>
      <c r="D943" s="168">
        <v>1380</v>
      </c>
      <c r="E943" s="201">
        <v>44516</v>
      </c>
    </row>
    <row r="944" spans="1:5" s="7" customFormat="1" ht="12.75">
      <c r="A944" s="1">
        <v>224</v>
      </c>
      <c r="B944" s="1" t="s">
        <v>540</v>
      </c>
      <c r="C944" s="27" t="s">
        <v>956</v>
      </c>
      <c r="D944" s="168">
        <v>1380</v>
      </c>
      <c r="E944" s="201">
        <v>44527</v>
      </c>
    </row>
    <row r="945" spans="1:5" s="7" customFormat="1" ht="12.75">
      <c r="A945" s="1">
        <v>225</v>
      </c>
      <c r="B945" s="1" t="s">
        <v>1195</v>
      </c>
      <c r="C945" s="27" t="s">
        <v>956</v>
      </c>
      <c r="D945" s="168">
        <v>1380</v>
      </c>
      <c r="E945" s="201">
        <v>44488</v>
      </c>
    </row>
    <row r="946" spans="1:5" s="7" customFormat="1" ht="12.75">
      <c r="A946" s="1">
        <v>226</v>
      </c>
      <c r="B946" s="1" t="s">
        <v>1196</v>
      </c>
      <c r="C946" s="27" t="s">
        <v>956</v>
      </c>
      <c r="D946" s="168">
        <v>1380</v>
      </c>
      <c r="E946" s="201">
        <v>44215</v>
      </c>
    </row>
    <row r="947" spans="1:5" s="7" customFormat="1" ht="12.75">
      <c r="A947" s="1">
        <v>227</v>
      </c>
      <c r="B947" s="1" t="s">
        <v>660</v>
      </c>
      <c r="C947" s="27" t="s">
        <v>956</v>
      </c>
      <c r="D947" s="168">
        <v>1035</v>
      </c>
      <c r="E947" s="201">
        <v>44501</v>
      </c>
    </row>
    <row r="948" spans="1:5" s="7" customFormat="1" ht="12.75">
      <c r="A948" s="1">
        <v>228</v>
      </c>
      <c r="B948" s="1" t="s">
        <v>1197</v>
      </c>
      <c r="C948" s="27" t="s">
        <v>956</v>
      </c>
      <c r="D948" s="168">
        <v>1725</v>
      </c>
      <c r="E948" s="201">
        <v>44488</v>
      </c>
    </row>
    <row r="949" spans="1:5" s="7" customFormat="1" ht="12.75">
      <c r="A949" s="1">
        <v>229</v>
      </c>
      <c r="B949" s="1" t="s">
        <v>1198</v>
      </c>
      <c r="C949" s="27" t="s">
        <v>956</v>
      </c>
      <c r="D949" s="168">
        <v>1035</v>
      </c>
      <c r="E949" s="201">
        <v>44253</v>
      </c>
    </row>
    <row r="950" spans="1:5" s="7" customFormat="1" ht="12.75">
      <c r="A950" s="1">
        <v>230</v>
      </c>
      <c r="B950" s="1" t="s">
        <v>1199</v>
      </c>
      <c r="C950" s="27" t="s">
        <v>956</v>
      </c>
      <c r="D950" s="168">
        <v>1035</v>
      </c>
      <c r="E950" s="201">
        <v>44231</v>
      </c>
    </row>
    <row r="951" spans="1:5" s="7" customFormat="1" ht="12.75">
      <c r="A951" s="1">
        <v>231</v>
      </c>
      <c r="B951" s="1" t="s">
        <v>871</v>
      </c>
      <c r="C951" s="27" t="s">
        <v>956</v>
      </c>
      <c r="D951" s="168">
        <v>1035</v>
      </c>
      <c r="E951" s="201">
        <v>44509</v>
      </c>
    </row>
    <row r="952" spans="1:5" s="7" customFormat="1" ht="12.75">
      <c r="A952" s="1">
        <v>232</v>
      </c>
      <c r="B952" s="1" t="s">
        <v>871</v>
      </c>
      <c r="C952" s="27" t="s">
        <v>956</v>
      </c>
      <c r="D952" s="168">
        <v>1035</v>
      </c>
      <c r="E952" s="201">
        <v>44522</v>
      </c>
    </row>
    <row r="953" spans="1:5" s="7" customFormat="1" ht="12.75">
      <c r="A953" s="1">
        <v>233</v>
      </c>
      <c r="B953" s="1" t="s">
        <v>541</v>
      </c>
      <c r="C953" s="1" t="s">
        <v>1116</v>
      </c>
      <c r="D953" s="168">
        <f>252936.28+243769.4</f>
        <v>496705.68</v>
      </c>
      <c r="E953" s="201">
        <v>44428</v>
      </c>
    </row>
    <row r="954" spans="1:5" s="7" customFormat="1" ht="12.75">
      <c r="A954" s="1">
        <v>234</v>
      </c>
      <c r="B954" s="1" t="s">
        <v>541</v>
      </c>
      <c r="C954" s="27" t="s">
        <v>956</v>
      </c>
      <c r="D954" s="168">
        <v>1725</v>
      </c>
      <c r="E954" s="201">
        <v>44494</v>
      </c>
    </row>
    <row r="955" spans="1:5" s="7" customFormat="1" ht="12.75">
      <c r="A955" s="1">
        <v>235</v>
      </c>
      <c r="B955" s="1" t="s">
        <v>541</v>
      </c>
      <c r="C955" s="27" t="s">
        <v>956</v>
      </c>
      <c r="D955" s="168">
        <v>1725</v>
      </c>
      <c r="E955" s="201">
        <v>44501</v>
      </c>
    </row>
    <row r="956" spans="1:5" s="7" customFormat="1" ht="12.75">
      <c r="A956" s="1">
        <v>236</v>
      </c>
      <c r="B956" s="1" t="s">
        <v>541</v>
      </c>
      <c r="C956" s="27" t="s">
        <v>956</v>
      </c>
      <c r="D956" s="168">
        <v>1725</v>
      </c>
      <c r="E956" s="201">
        <v>44509</v>
      </c>
    </row>
    <row r="957" spans="1:5" s="7" customFormat="1" ht="12.75">
      <c r="A957" s="1">
        <v>237</v>
      </c>
      <c r="B957" s="1" t="s">
        <v>1200</v>
      </c>
      <c r="C957" s="27" t="s">
        <v>956</v>
      </c>
      <c r="D957" s="168">
        <v>1725</v>
      </c>
      <c r="E957" s="201">
        <v>44488</v>
      </c>
    </row>
    <row r="958" spans="1:5" s="7" customFormat="1" ht="12.75">
      <c r="A958" s="1">
        <v>238</v>
      </c>
      <c r="B958" s="1" t="s">
        <v>1201</v>
      </c>
      <c r="C958" s="1" t="s">
        <v>1202</v>
      </c>
      <c r="D958" s="168">
        <v>61652</v>
      </c>
      <c r="E958" s="201">
        <v>44372</v>
      </c>
    </row>
    <row r="959" spans="1:5" s="7" customFormat="1" ht="12.75">
      <c r="A959" s="1">
        <v>239</v>
      </c>
      <c r="B959" s="1" t="s">
        <v>663</v>
      </c>
      <c r="C959" s="27" t="s">
        <v>956</v>
      </c>
      <c r="D959" s="168">
        <v>1725</v>
      </c>
      <c r="E959" s="201">
        <v>44494</v>
      </c>
    </row>
    <row r="960" spans="1:5" s="7" customFormat="1" ht="12.75">
      <c r="A960" s="1">
        <v>240</v>
      </c>
      <c r="B960" s="1" t="s">
        <v>1203</v>
      </c>
      <c r="C960" s="27" t="s">
        <v>956</v>
      </c>
      <c r="D960" s="168">
        <v>1725</v>
      </c>
      <c r="E960" s="201">
        <v>44488</v>
      </c>
    </row>
    <row r="961" spans="1:5" s="7" customFormat="1" ht="12.75">
      <c r="A961" s="1">
        <v>241</v>
      </c>
      <c r="B961" s="1" t="s">
        <v>1204</v>
      </c>
      <c r="C961" s="27" t="s">
        <v>956</v>
      </c>
      <c r="D961" s="168">
        <v>1725</v>
      </c>
      <c r="E961" s="201">
        <v>44488</v>
      </c>
    </row>
    <row r="962" spans="1:5" s="7" customFormat="1" ht="12.75">
      <c r="A962" s="1">
        <v>242</v>
      </c>
      <c r="B962" s="1" t="s">
        <v>1205</v>
      </c>
      <c r="C962" s="27" t="s">
        <v>956</v>
      </c>
      <c r="D962" s="168">
        <v>1725</v>
      </c>
      <c r="E962" s="201">
        <v>44256</v>
      </c>
    </row>
    <row r="963" spans="1:5" s="7" customFormat="1" ht="12.75">
      <c r="A963" s="1">
        <v>243</v>
      </c>
      <c r="B963" s="1" t="s">
        <v>1206</v>
      </c>
      <c r="C963" s="1" t="s">
        <v>1116</v>
      </c>
      <c r="D963" s="168">
        <v>96642.8</v>
      </c>
      <c r="E963" s="201">
        <v>44291</v>
      </c>
    </row>
    <row r="964" spans="1:5" s="7" customFormat="1" ht="12.75">
      <c r="A964" s="1">
        <v>244</v>
      </c>
      <c r="B964" s="1" t="s">
        <v>1207</v>
      </c>
      <c r="C964" s="1" t="s">
        <v>1116</v>
      </c>
      <c r="D964" s="168">
        <v>111716.26</v>
      </c>
      <c r="E964" s="201">
        <v>44378</v>
      </c>
    </row>
    <row r="965" spans="1:5" s="7" customFormat="1" ht="12.75">
      <c r="A965" s="1">
        <v>245</v>
      </c>
      <c r="B965" s="1" t="s">
        <v>665</v>
      </c>
      <c r="C965" s="27" t="s">
        <v>956</v>
      </c>
      <c r="D965" s="168">
        <v>1725</v>
      </c>
      <c r="E965" s="201">
        <v>44501</v>
      </c>
    </row>
    <row r="966" spans="1:5" s="7" customFormat="1" ht="12.75">
      <c r="A966" s="1">
        <v>246</v>
      </c>
      <c r="B966" s="1" t="s">
        <v>665</v>
      </c>
      <c r="C966" s="27" t="s">
        <v>956</v>
      </c>
      <c r="D966" s="168">
        <v>1725</v>
      </c>
      <c r="E966" s="201">
        <v>44501</v>
      </c>
    </row>
    <row r="967" spans="1:5" s="7" customFormat="1" ht="12.75">
      <c r="A967" s="1">
        <v>247</v>
      </c>
      <c r="B967" s="1" t="s">
        <v>665</v>
      </c>
      <c r="C967" s="27" t="s">
        <v>956</v>
      </c>
      <c r="D967" s="168">
        <v>1725</v>
      </c>
      <c r="E967" s="201">
        <v>44516</v>
      </c>
    </row>
    <row r="968" spans="1:5" s="7" customFormat="1" ht="12.75">
      <c r="A968" s="1">
        <v>248</v>
      </c>
      <c r="B968" s="1" t="s">
        <v>666</v>
      </c>
      <c r="C968" s="27" t="s">
        <v>956</v>
      </c>
      <c r="D968" s="168">
        <v>1725</v>
      </c>
      <c r="E968" s="201">
        <v>44497</v>
      </c>
    </row>
    <row r="969" spans="1:5" s="7" customFormat="1" ht="12.75">
      <c r="A969" s="1">
        <v>249</v>
      </c>
      <c r="B969" s="1" t="s">
        <v>1208</v>
      </c>
      <c r="C969" s="27" t="s">
        <v>956</v>
      </c>
      <c r="D969" s="168">
        <v>1725</v>
      </c>
      <c r="E969" s="201">
        <v>44490</v>
      </c>
    </row>
    <row r="970" spans="1:5" s="7" customFormat="1" ht="12.75">
      <c r="A970" s="1">
        <v>250</v>
      </c>
      <c r="B970" s="1" t="s">
        <v>1209</v>
      </c>
      <c r="C970" s="27" t="s">
        <v>956</v>
      </c>
      <c r="D970" s="168">
        <v>1725</v>
      </c>
      <c r="E970" s="214" t="s">
        <v>1102</v>
      </c>
    </row>
    <row r="971" spans="1:5" s="7" customFormat="1" ht="12.75">
      <c r="A971" s="1">
        <v>251</v>
      </c>
      <c r="B971" s="1" t="s">
        <v>1210</v>
      </c>
      <c r="C971" s="27" t="s">
        <v>956</v>
      </c>
      <c r="D971" s="168">
        <v>1380</v>
      </c>
      <c r="E971" s="201">
        <v>44229</v>
      </c>
    </row>
    <row r="972" spans="1:5" s="7" customFormat="1" ht="12.75">
      <c r="A972" s="1">
        <v>252</v>
      </c>
      <c r="B972" s="1" t="s">
        <v>1210</v>
      </c>
      <c r="C972" s="27" t="s">
        <v>956</v>
      </c>
      <c r="D972" s="168">
        <v>1380</v>
      </c>
      <c r="E972" s="201">
        <v>44522</v>
      </c>
    </row>
    <row r="973" spans="1:5" s="7" customFormat="1" ht="12.75">
      <c r="A973" s="1">
        <v>253</v>
      </c>
      <c r="B973" s="1" t="s">
        <v>667</v>
      </c>
      <c r="C973" s="27" t="s">
        <v>956</v>
      </c>
      <c r="D973" s="168">
        <v>1725</v>
      </c>
      <c r="E973" s="201">
        <v>44494</v>
      </c>
    </row>
    <row r="974" spans="1:5" s="7" customFormat="1" ht="12.75">
      <c r="A974" s="1">
        <v>254</v>
      </c>
      <c r="B974" s="1" t="s">
        <v>667</v>
      </c>
      <c r="C974" s="27" t="s">
        <v>956</v>
      </c>
      <c r="D974" s="168">
        <v>1725</v>
      </c>
      <c r="E974" s="201">
        <v>44516</v>
      </c>
    </row>
    <row r="975" spans="1:5" s="7" customFormat="1" ht="12.75">
      <c r="A975" s="1">
        <v>255</v>
      </c>
      <c r="B975" s="1" t="s">
        <v>1211</v>
      </c>
      <c r="C975" s="27" t="s">
        <v>956</v>
      </c>
      <c r="D975" s="168">
        <v>1725</v>
      </c>
      <c r="E975" s="201">
        <v>44488</v>
      </c>
    </row>
    <row r="976" spans="1:5" s="7" customFormat="1" ht="12.75">
      <c r="A976" s="1">
        <v>256</v>
      </c>
      <c r="B976" s="1" t="s">
        <v>774</v>
      </c>
      <c r="C976" s="27" t="s">
        <v>956</v>
      </c>
      <c r="D976" s="168">
        <v>1725</v>
      </c>
      <c r="E976" s="201">
        <v>44497</v>
      </c>
    </row>
    <row r="977" spans="1:5" s="7" customFormat="1" ht="12.75">
      <c r="A977" s="1">
        <v>257</v>
      </c>
      <c r="B977" s="1" t="s">
        <v>774</v>
      </c>
      <c r="C977" s="27" t="s">
        <v>956</v>
      </c>
      <c r="D977" s="168">
        <v>1725</v>
      </c>
      <c r="E977" s="201">
        <v>44497</v>
      </c>
    </row>
    <row r="978" spans="1:5" s="7" customFormat="1" ht="12.75">
      <c r="A978" s="1">
        <v>258</v>
      </c>
      <c r="B978" s="1" t="s">
        <v>669</v>
      </c>
      <c r="C978" s="27" t="s">
        <v>956</v>
      </c>
      <c r="D978" s="168">
        <v>1725</v>
      </c>
      <c r="E978" s="201">
        <v>44497</v>
      </c>
    </row>
    <row r="979" spans="1:5" s="7" customFormat="1" ht="12.75">
      <c r="A979" s="1">
        <v>259</v>
      </c>
      <c r="B979" s="1" t="s">
        <v>669</v>
      </c>
      <c r="C979" s="27" t="s">
        <v>956</v>
      </c>
      <c r="D979" s="168">
        <v>1725</v>
      </c>
      <c r="E979" s="201">
        <v>44501</v>
      </c>
    </row>
    <row r="980" spans="1:5" s="7" customFormat="1" ht="12.75">
      <c r="A980" s="1">
        <v>260</v>
      </c>
      <c r="B980" s="1" t="s">
        <v>669</v>
      </c>
      <c r="C980" s="27" t="s">
        <v>956</v>
      </c>
      <c r="D980" s="168">
        <v>1725</v>
      </c>
      <c r="E980" s="201">
        <v>44531</v>
      </c>
    </row>
    <row r="981" spans="1:5" s="7" customFormat="1" ht="12.75">
      <c r="A981" s="1">
        <v>261</v>
      </c>
      <c r="B981" s="1" t="s">
        <v>1212</v>
      </c>
      <c r="C981" s="27" t="s">
        <v>956</v>
      </c>
      <c r="D981" s="168">
        <v>1725</v>
      </c>
      <c r="E981" s="201">
        <v>44215</v>
      </c>
    </row>
    <row r="982" spans="1:5" s="7" customFormat="1" ht="12.75">
      <c r="A982" s="1">
        <v>262</v>
      </c>
      <c r="B982" s="1" t="s">
        <v>1213</v>
      </c>
      <c r="C982" s="27" t="s">
        <v>956</v>
      </c>
      <c r="D982" s="168">
        <v>1725</v>
      </c>
      <c r="E982" s="201">
        <v>44243</v>
      </c>
    </row>
    <row r="983" spans="1:5" s="7" customFormat="1" ht="12.75">
      <c r="A983" s="1">
        <v>263</v>
      </c>
      <c r="B983" s="1" t="s">
        <v>1214</v>
      </c>
      <c r="C983" s="1" t="s">
        <v>956</v>
      </c>
      <c r="D983" s="168">
        <v>1725</v>
      </c>
      <c r="E983" s="201">
        <v>44270</v>
      </c>
    </row>
    <row r="984" spans="1:5" s="7" customFormat="1" ht="12.75">
      <c r="A984" s="1">
        <v>264</v>
      </c>
      <c r="B984" s="1" t="s">
        <v>1215</v>
      </c>
      <c r="C984" s="27" t="s">
        <v>956</v>
      </c>
      <c r="D984" s="168">
        <v>1725</v>
      </c>
      <c r="E984" s="201">
        <v>44516</v>
      </c>
    </row>
    <row r="985" spans="1:5" s="7" customFormat="1" ht="12.75">
      <c r="A985" s="1">
        <v>265</v>
      </c>
      <c r="B985" s="1" t="s">
        <v>1216</v>
      </c>
      <c r="C985" s="27" t="s">
        <v>956</v>
      </c>
      <c r="D985" s="168">
        <v>1725</v>
      </c>
      <c r="E985" s="201">
        <v>44516</v>
      </c>
    </row>
    <row r="986" spans="1:5" s="7" customFormat="1" ht="12.75">
      <c r="A986" s="1">
        <v>266</v>
      </c>
      <c r="B986" s="1" t="s">
        <v>1217</v>
      </c>
      <c r="C986" s="27" t="s">
        <v>956</v>
      </c>
      <c r="D986" s="168">
        <v>1725</v>
      </c>
      <c r="E986" s="201">
        <v>44221</v>
      </c>
    </row>
    <row r="987" spans="1:5" s="7" customFormat="1" ht="12.75">
      <c r="A987" s="1">
        <v>267</v>
      </c>
      <c r="B987" s="1" t="s">
        <v>1218</v>
      </c>
      <c r="C987" s="27" t="s">
        <v>956</v>
      </c>
      <c r="D987" s="168">
        <v>1725</v>
      </c>
      <c r="E987" s="201">
        <v>44221</v>
      </c>
    </row>
    <row r="988" spans="1:5" s="7" customFormat="1" ht="12.75">
      <c r="A988" s="1">
        <v>268</v>
      </c>
      <c r="B988" s="1" t="s">
        <v>1219</v>
      </c>
      <c r="C988" s="27" t="s">
        <v>956</v>
      </c>
      <c r="D988" s="168">
        <v>1725</v>
      </c>
      <c r="E988" s="201">
        <v>44215</v>
      </c>
    </row>
    <row r="989" spans="1:5" s="7" customFormat="1" ht="12.75">
      <c r="A989" s="1">
        <v>269</v>
      </c>
      <c r="B989" s="1" t="s">
        <v>776</v>
      </c>
      <c r="C989" s="27" t="s">
        <v>573</v>
      </c>
      <c r="D989" s="168">
        <f>18879.76+27195.43</f>
        <v>46075.19</v>
      </c>
      <c r="E989" s="201">
        <v>44469</v>
      </c>
    </row>
    <row r="990" spans="1:5" s="7" customFormat="1" ht="12.75">
      <c r="A990" s="1">
        <v>270</v>
      </c>
      <c r="B990" s="1" t="s">
        <v>776</v>
      </c>
      <c r="C990" s="27" t="s">
        <v>956</v>
      </c>
      <c r="D990" s="168">
        <v>1725</v>
      </c>
      <c r="E990" s="201">
        <v>44531</v>
      </c>
    </row>
    <row r="991" spans="1:5" s="7" customFormat="1" ht="12.75">
      <c r="A991" s="1">
        <v>271</v>
      </c>
      <c r="B991" s="1" t="s">
        <v>1220</v>
      </c>
      <c r="C991" s="27" t="s">
        <v>956</v>
      </c>
      <c r="D991" s="168">
        <v>1725</v>
      </c>
      <c r="E991" s="201">
        <v>44221</v>
      </c>
    </row>
    <row r="992" spans="1:5" s="7" customFormat="1" ht="12.75">
      <c r="A992" s="1">
        <v>272</v>
      </c>
      <c r="B992" s="1" t="s">
        <v>544</v>
      </c>
      <c r="C992" s="27" t="s">
        <v>956</v>
      </c>
      <c r="D992" s="168">
        <v>1725</v>
      </c>
      <c r="E992" s="201">
        <v>44494</v>
      </c>
    </row>
    <row r="993" spans="1:5" s="7" customFormat="1" ht="12.75">
      <c r="A993" s="1">
        <v>273</v>
      </c>
      <c r="B993" s="1" t="s">
        <v>544</v>
      </c>
      <c r="C993" s="27" t="s">
        <v>956</v>
      </c>
      <c r="D993" s="168">
        <v>1725</v>
      </c>
      <c r="E993" s="201">
        <v>44494</v>
      </c>
    </row>
    <row r="994" spans="1:5" s="7" customFormat="1" ht="12.75">
      <c r="A994" s="1">
        <v>274</v>
      </c>
      <c r="B994" s="1" t="s">
        <v>1221</v>
      </c>
      <c r="C994" s="27" t="s">
        <v>956</v>
      </c>
      <c r="D994" s="168">
        <v>1725</v>
      </c>
      <c r="E994" s="201">
        <v>44215</v>
      </c>
    </row>
    <row r="995" spans="1:5" s="7" customFormat="1" ht="12.75">
      <c r="A995" s="1">
        <v>275</v>
      </c>
      <c r="B995" s="1" t="s">
        <v>1222</v>
      </c>
      <c r="C995" s="27" t="s">
        <v>956</v>
      </c>
      <c r="D995" s="168">
        <v>1725</v>
      </c>
      <c r="E995" s="201">
        <v>44221</v>
      </c>
    </row>
    <row r="996" spans="1:5" s="7" customFormat="1" ht="12.75">
      <c r="A996" s="1">
        <v>276</v>
      </c>
      <c r="B996" s="1" t="s">
        <v>547</v>
      </c>
      <c r="C996" s="27" t="s">
        <v>956</v>
      </c>
      <c r="D996" s="168">
        <v>1725</v>
      </c>
      <c r="E996" s="201">
        <v>44494</v>
      </c>
    </row>
    <row r="997" spans="1:5" s="7" customFormat="1" ht="12.75">
      <c r="A997" s="1">
        <v>277</v>
      </c>
      <c r="B997" s="1" t="s">
        <v>547</v>
      </c>
      <c r="C997" s="27" t="s">
        <v>956</v>
      </c>
      <c r="D997" s="168">
        <v>1725</v>
      </c>
      <c r="E997" s="201">
        <v>44522</v>
      </c>
    </row>
    <row r="998" spans="1:5" s="7" customFormat="1" ht="12.75">
      <c r="A998" s="1">
        <v>278</v>
      </c>
      <c r="B998" s="1" t="s">
        <v>547</v>
      </c>
      <c r="C998" s="27" t="s">
        <v>956</v>
      </c>
      <c r="D998" s="168">
        <v>1725</v>
      </c>
      <c r="E998" s="201">
        <v>44527</v>
      </c>
    </row>
    <row r="999" spans="1:5" s="7" customFormat="1" ht="12.75">
      <c r="A999" s="1">
        <v>279</v>
      </c>
      <c r="B999" s="1" t="s">
        <v>548</v>
      </c>
      <c r="C999" s="27" t="s">
        <v>956</v>
      </c>
      <c r="D999" s="168">
        <v>1725</v>
      </c>
      <c r="E999" s="201">
        <v>44516</v>
      </c>
    </row>
    <row r="1000" spans="1:5" s="7" customFormat="1" ht="12.75">
      <c r="A1000" s="1">
        <v>280</v>
      </c>
      <c r="B1000" s="1" t="s">
        <v>671</v>
      </c>
      <c r="C1000" s="27" t="s">
        <v>956</v>
      </c>
      <c r="D1000" s="168">
        <v>1725</v>
      </c>
      <c r="E1000" s="201">
        <v>44497</v>
      </c>
    </row>
    <row r="1001" spans="1:5" s="7" customFormat="1" ht="12.75">
      <c r="A1001" s="1">
        <v>281</v>
      </c>
      <c r="B1001" s="1" t="s">
        <v>671</v>
      </c>
      <c r="C1001" s="27" t="s">
        <v>956</v>
      </c>
      <c r="D1001" s="168">
        <v>1725</v>
      </c>
      <c r="E1001" s="201">
        <v>44522</v>
      </c>
    </row>
    <row r="1002" spans="1:5" s="7" customFormat="1" ht="12.75">
      <c r="A1002" s="1">
        <v>282</v>
      </c>
      <c r="B1002" s="1" t="s">
        <v>671</v>
      </c>
      <c r="C1002" s="27" t="s">
        <v>956</v>
      </c>
      <c r="D1002" s="168">
        <v>1725</v>
      </c>
      <c r="E1002" s="201">
        <v>44527</v>
      </c>
    </row>
    <row r="1003" spans="1:5" s="7" customFormat="1" ht="12.75">
      <c r="A1003" s="1">
        <v>283</v>
      </c>
      <c r="B1003" s="1" t="s">
        <v>1223</v>
      </c>
      <c r="C1003" s="27" t="s">
        <v>956</v>
      </c>
      <c r="D1003" s="168">
        <v>1725</v>
      </c>
      <c r="E1003" s="201">
        <v>44264</v>
      </c>
    </row>
    <row r="1004" spans="1:5" s="7" customFormat="1" ht="12.75">
      <c r="A1004" s="1">
        <v>284</v>
      </c>
      <c r="B1004" s="1" t="s">
        <v>1224</v>
      </c>
      <c r="C1004" s="1" t="s">
        <v>1116</v>
      </c>
      <c r="D1004" s="168">
        <v>23991.39</v>
      </c>
      <c r="E1004" s="201">
        <v>44378</v>
      </c>
    </row>
    <row r="1005" spans="1:5" s="7" customFormat="1" ht="12.75">
      <c r="A1005" s="1">
        <v>285</v>
      </c>
      <c r="B1005" s="1" t="s">
        <v>877</v>
      </c>
      <c r="C1005" s="27" t="s">
        <v>956</v>
      </c>
      <c r="D1005" s="168">
        <v>1725</v>
      </c>
      <c r="E1005" s="201">
        <v>44501</v>
      </c>
    </row>
    <row r="1006" spans="1:5" s="7" customFormat="1" ht="12.75">
      <c r="A1006" s="1">
        <v>286</v>
      </c>
      <c r="B1006" s="1" t="s">
        <v>877</v>
      </c>
      <c r="C1006" s="27" t="s">
        <v>956</v>
      </c>
      <c r="D1006" s="168">
        <v>1725</v>
      </c>
      <c r="E1006" s="201">
        <v>44522</v>
      </c>
    </row>
    <row r="1007" spans="1:5" s="7" customFormat="1" ht="12.75">
      <c r="A1007" s="1">
        <v>287</v>
      </c>
      <c r="B1007" s="1" t="s">
        <v>1225</v>
      </c>
      <c r="C1007" s="27" t="s">
        <v>956</v>
      </c>
      <c r="D1007" s="168">
        <v>1725</v>
      </c>
      <c r="E1007" s="201">
        <v>44215</v>
      </c>
    </row>
    <row r="1008" spans="1:5" s="7" customFormat="1" ht="12.75">
      <c r="A1008" s="1">
        <v>288</v>
      </c>
      <c r="B1008" s="1" t="s">
        <v>549</v>
      </c>
      <c r="C1008" s="27" t="s">
        <v>956</v>
      </c>
      <c r="D1008" s="168">
        <v>1725</v>
      </c>
      <c r="E1008" s="201">
        <v>44494</v>
      </c>
    </row>
    <row r="1009" spans="1:5" s="7" customFormat="1" ht="12.75">
      <c r="A1009" s="1">
        <v>289</v>
      </c>
      <c r="B1009" s="1" t="s">
        <v>549</v>
      </c>
      <c r="C1009" s="27" t="s">
        <v>956</v>
      </c>
      <c r="D1009" s="168">
        <v>1725</v>
      </c>
      <c r="E1009" s="201">
        <v>44522</v>
      </c>
    </row>
    <row r="1010" spans="1:5" s="7" customFormat="1" ht="12.75">
      <c r="A1010" s="1">
        <v>290</v>
      </c>
      <c r="B1010" s="1" t="s">
        <v>1226</v>
      </c>
      <c r="C1010" s="27" t="s">
        <v>956</v>
      </c>
      <c r="D1010" s="168">
        <v>1725</v>
      </c>
      <c r="E1010" s="201">
        <v>44210</v>
      </c>
    </row>
    <row r="1011" spans="1:5" s="7" customFormat="1" ht="12.75">
      <c r="A1011" s="1">
        <v>291</v>
      </c>
      <c r="B1011" s="1" t="s">
        <v>1227</v>
      </c>
      <c r="C1011" s="27" t="s">
        <v>956</v>
      </c>
      <c r="D1011" s="168">
        <v>1725</v>
      </c>
      <c r="E1011" s="201">
        <v>44242</v>
      </c>
    </row>
    <row r="1012" spans="1:5" s="7" customFormat="1" ht="12.75">
      <c r="A1012" s="1">
        <v>292</v>
      </c>
      <c r="B1012" s="1" t="s">
        <v>673</v>
      </c>
      <c r="C1012" s="27" t="s">
        <v>573</v>
      </c>
      <c r="D1012" s="168">
        <v>44386.28</v>
      </c>
      <c r="E1012" s="201">
        <v>44469</v>
      </c>
    </row>
    <row r="1013" spans="1:5" s="7" customFormat="1" ht="12.75">
      <c r="A1013" s="1">
        <v>293</v>
      </c>
      <c r="B1013" s="1" t="s">
        <v>1228</v>
      </c>
      <c r="C1013" s="27" t="s">
        <v>956</v>
      </c>
      <c r="D1013" s="168">
        <v>1725</v>
      </c>
      <c r="E1013" s="201">
        <v>44490</v>
      </c>
    </row>
    <row r="1014" spans="1:5" s="7" customFormat="1" ht="12.75">
      <c r="A1014" s="1">
        <v>294</v>
      </c>
      <c r="B1014" s="1" t="s">
        <v>1229</v>
      </c>
      <c r="C1014" s="27" t="s">
        <v>956</v>
      </c>
      <c r="D1014" s="168">
        <v>1725</v>
      </c>
      <c r="E1014" s="201">
        <v>44210</v>
      </c>
    </row>
    <row r="1015" spans="1:5" s="7" customFormat="1" ht="12.75">
      <c r="A1015" s="1">
        <v>295</v>
      </c>
      <c r="B1015" s="1" t="s">
        <v>1230</v>
      </c>
      <c r="C1015" s="27" t="s">
        <v>956</v>
      </c>
      <c r="D1015" s="168">
        <v>1725</v>
      </c>
      <c r="E1015" s="201">
        <v>44215</v>
      </c>
    </row>
    <row r="1016" spans="1:5" s="7" customFormat="1" ht="12.75">
      <c r="A1016" s="1">
        <v>296</v>
      </c>
      <c r="B1016" s="1" t="s">
        <v>1231</v>
      </c>
      <c r="C1016" s="27" t="s">
        <v>956</v>
      </c>
      <c r="D1016" s="168">
        <v>1725</v>
      </c>
      <c r="E1016" s="201">
        <v>44516</v>
      </c>
    </row>
    <row r="1017" spans="1:5" s="7" customFormat="1" ht="12.75">
      <c r="A1017" s="1">
        <v>297</v>
      </c>
      <c r="B1017" s="1" t="s">
        <v>1232</v>
      </c>
      <c r="C1017" s="27" t="s">
        <v>956</v>
      </c>
      <c r="D1017" s="168">
        <v>1725</v>
      </c>
      <c r="E1017" s="201">
        <v>44488</v>
      </c>
    </row>
    <row r="1018" spans="1:5" s="7" customFormat="1" ht="12.75">
      <c r="A1018" s="1">
        <v>298</v>
      </c>
      <c r="B1018" s="1" t="s">
        <v>676</v>
      </c>
      <c r="C1018" s="27" t="s">
        <v>956</v>
      </c>
      <c r="D1018" s="168">
        <v>1725</v>
      </c>
      <c r="E1018" s="201">
        <v>44494</v>
      </c>
    </row>
    <row r="1019" spans="1:5" s="7" customFormat="1" ht="12.75">
      <c r="A1019" s="1">
        <v>299</v>
      </c>
      <c r="B1019" s="1" t="s">
        <v>676</v>
      </c>
      <c r="C1019" s="27" t="s">
        <v>956</v>
      </c>
      <c r="D1019" s="168">
        <v>1725</v>
      </c>
      <c r="E1019" s="201">
        <v>44522</v>
      </c>
    </row>
    <row r="1020" spans="1:5" s="7" customFormat="1" ht="12.75">
      <c r="A1020" s="1">
        <v>300</v>
      </c>
      <c r="B1020" s="1" t="s">
        <v>1233</v>
      </c>
      <c r="C1020" s="27" t="s">
        <v>956</v>
      </c>
      <c r="D1020" s="168">
        <v>1725</v>
      </c>
      <c r="E1020" s="201">
        <v>44210</v>
      </c>
    </row>
    <row r="1021" spans="1:5" s="7" customFormat="1" ht="12.75">
      <c r="A1021" s="1">
        <v>301</v>
      </c>
      <c r="B1021" s="1" t="s">
        <v>1234</v>
      </c>
      <c r="C1021" s="27" t="s">
        <v>956</v>
      </c>
      <c r="D1021" s="168">
        <v>1725</v>
      </c>
      <c r="E1021" s="201">
        <v>44234</v>
      </c>
    </row>
    <row r="1022" spans="1:5" s="7" customFormat="1" ht="12.75">
      <c r="A1022" s="1">
        <v>302</v>
      </c>
      <c r="B1022" s="1" t="s">
        <v>552</v>
      </c>
      <c r="C1022" s="27" t="s">
        <v>956</v>
      </c>
      <c r="D1022" s="168">
        <v>1725</v>
      </c>
      <c r="E1022" s="201">
        <v>44497</v>
      </c>
    </row>
    <row r="1023" spans="1:5" s="7" customFormat="1" ht="12.75">
      <c r="A1023" s="1">
        <v>303</v>
      </c>
      <c r="B1023" s="1" t="s">
        <v>1235</v>
      </c>
      <c r="C1023" s="27" t="s">
        <v>956</v>
      </c>
      <c r="D1023" s="168">
        <v>1725</v>
      </c>
      <c r="E1023" s="201">
        <v>44243</v>
      </c>
    </row>
    <row r="1024" spans="1:5" s="7" customFormat="1" ht="12.75">
      <c r="A1024" s="1">
        <v>304</v>
      </c>
      <c r="B1024" s="1" t="s">
        <v>881</v>
      </c>
      <c r="C1024" s="27" t="s">
        <v>956</v>
      </c>
      <c r="D1024" s="168">
        <v>1725</v>
      </c>
      <c r="E1024" s="201">
        <v>44497</v>
      </c>
    </row>
    <row r="1025" spans="1:5" s="7" customFormat="1" ht="12.75">
      <c r="A1025" s="1">
        <v>305</v>
      </c>
      <c r="B1025" s="1" t="s">
        <v>881</v>
      </c>
      <c r="C1025" s="27" t="s">
        <v>956</v>
      </c>
      <c r="D1025" s="168">
        <v>1725</v>
      </c>
      <c r="E1025" s="201">
        <v>44522</v>
      </c>
    </row>
    <row r="1026" spans="1:5" s="7" customFormat="1" ht="12.75">
      <c r="A1026" s="1">
        <v>306</v>
      </c>
      <c r="B1026" s="1" t="s">
        <v>1236</v>
      </c>
      <c r="C1026" s="27" t="s">
        <v>970</v>
      </c>
      <c r="D1026" s="168">
        <v>124200</v>
      </c>
      <c r="E1026" s="201">
        <v>44342</v>
      </c>
    </row>
    <row r="1027" spans="1:5" s="7" customFormat="1" ht="12.75">
      <c r="A1027" s="1">
        <v>307</v>
      </c>
      <c r="B1027" s="1" t="s">
        <v>1237</v>
      </c>
      <c r="C1027" s="27" t="s">
        <v>956</v>
      </c>
      <c r="D1027" s="168">
        <v>1725</v>
      </c>
      <c r="E1027" s="201">
        <v>44224</v>
      </c>
    </row>
    <row r="1028" spans="1:5" s="7" customFormat="1" ht="12.75">
      <c r="A1028" s="1">
        <v>308</v>
      </c>
      <c r="B1028" s="1" t="s">
        <v>784</v>
      </c>
      <c r="C1028" s="27" t="s">
        <v>956</v>
      </c>
      <c r="D1028" s="168">
        <v>1725</v>
      </c>
      <c r="E1028" s="201">
        <v>44527</v>
      </c>
    </row>
    <row r="1029" spans="1:5" s="7" customFormat="1" ht="12.75">
      <c r="A1029" s="1">
        <v>309</v>
      </c>
      <c r="B1029" s="1" t="s">
        <v>1238</v>
      </c>
      <c r="C1029" s="27" t="s">
        <v>956</v>
      </c>
      <c r="D1029" s="168">
        <v>1725</v>
      </c>
      <c r="E1029" s="201">
        <v>44234</v>
      </c>
    </row>
    <row r="1030" spans="1:5" s="7" customFormat="1" ht="12.75">
      <c r="A1030" s="1">
        <v>310</v>
      </c>
      <c r="B1030" s="1" t="s">
        <v>1239</v>
      </c>
      <c r="C1030" s="27" t="s">
        <v>956</v>
      </c>
      <c r="D1030" s="168">
        <v>1725</v>
      </c>
      <c r="E1030" s="201">
        <v>44488</v>
      </c>
    </row>
    <row r="1031" spans="1:5" s="7" customFormat="1" ht="12.75">
      <c r="A1031" s="1">
        <v>311</v>
      </c>
      <c r="B1031" s="1" t="s">
        <v>553</v>
      </c>
      <c r="C1031" s="27" t="s">
        <v>956</v>
      </c>
      <c r="D1031" s="168">
        <v>1725</v>
      </c>
      <c r="E1031" s="201">
        <v>44494</v>
      </c>
    </row>
    <row r="1032" spans="1:5" s="7" customFormat="1" ht="12.75">
      <c r="A1032" s="1">
        <v>312</v>
      </c>
      <c r="B1032" s="1" t="s">
        <v>1240</v>
      </c>
      <c r="C1032" s="27" t="s">
        <v>956</v>
      </c>
      <c r="D1032" s="168">
        <v>1725</v>
      </c>
      <c r="E1032" s="201">
        <v>44231</v>
      </c>
    </row>
    <row r="1033" spans="1:5" s="7" customFormat="1" ht="12.75">
      <c r="A1033" s="1">
        <v>313</v>
      </c>
      <c r="B1033" s="1" t="s">
        <v>882</v>
      </c>
      <c r="C1033" s="1" t="s">
        <v>970</v>
      </c>
      <c r="D1033" s="168">
        <f>(97637.91+51437.48)</f>
        <v>149075.39</v>
      </c>
      <c r="E1033" s="201">
        <v>44270</v>
      </c>
    </row>
    <row r="1034" spans="1:5" s="7" customFormat="1" ht="12.75">
      <c r="A1034" s="1">
        <v>314</v>
      </c>
      <c r="B1034" s="1" t="s">
        <v>681</v>
      </c>
      <c r="C1034" s="27" t="s">
        <v>956</v>
      </c>
      <c r="D1034" s="168">
        <v>1725</v>
      </c>
      <c r="E1034" s="201">
        <v>44497</v>
      </c>
    </row>
    <row r="1035" spans="1:5" s="7" customFormat="1" ht="12.75">
      <c r="A1035" s="1">
        <v>315</v>
      </c>
      <c r="B1035" s="1" t="s">
        <v>681</v>
      </c>
      <c r="C1035" s="27" t="s">
        <v>573</v>
      </c>
      <c r="D1035" s="168">
        <v>68313.72</v>
      </c>
      <c r="E1035" s="201">
        <v>44547</v>
      </c>
    </row>
    <row r="1036" spans="1:5" s="7" customFormat="1" ht="12.75">
      <c r="A1036" s="1">
        <v>316</v>
      </c>
      <c r="B1036" s="1" t="s">
        <v>1241</v>
      </c>
      <c r="C1036" s="27" t="s">
        <v>1242</v>
      </c>
      <c r="D1036" s="168">
        <v>65000</v>
      </c>
      <c r="E1036" s="201">
        <v>43927</v>
      </c>
    </row>
    <row r="1037" spans="1:5" s="7" customFormat="1" ht="12.75">
      <c r="A1037" s="1">
        <v>317</v>
      </c>
      <c r="B1037" s="1" t="s">
        <v>1241</v>
      </c>
      <c r="C1037" s="27" t="s">
        <v>956</v>
      </c>
      <c r="D1037" s="168">
        <v>1725</v>
      </c>
      <c r="E1037" s="201">
        <v>44527</v>
      </c>
    </row>
    <row r="1038" spans="1:5" s="7" customFormat="1" ht="12.75">
      <c r="A1038" s="1">
        <v>318</v>
      </c>
      <c r="B1038" s="1" t="s">
        <v>1243</v>
      </c>
      <c r="C1038" s="27" t="s">
        <v>956</v>
      </c>
      <c r="D1038" s="168">
        <v>1725</v>
      </c>
      <c r="E1038" s="201">
        <v>44231</v>
      </c>
    </row>
    <row r="1039" spans="1:5" s="7" customFormat="1" ht="12.75">
      <c r="A1039" s="1">
        <v>319</v>
      </c>
      <c r="B1039" s="1" t="s">
        <v>1244</v>
      </c>
      <c r="C1039" s="27" t="s">
        <v>956</v>
      </c>
      <c r="D1039" s="168">
        <v>1725</v>
      </c>
      <c r="E1039" s="201">
        <v>44494</v>
      </c>
    </row>
    <row r="1040" spans="1:5" s="7" customFormat="1" ht="12.75">
      <c r="A1040" s="1">
        <v>320</v>
      </c>
      <c r="B1040" s="1" t="s">
        <v>554</v>
      </c>
      <c r="C1040" s="27" t="s">
        <v>956</v>
      </c>
      <c r="D1040" s="168">
        <v>1725</v>
      </c>
      <c r="E1040" s="201">
        <v>44494</v>
      </c>
    </row>
    <row r="1041" spans="1:5" s="7" customFormat="1" ht="12.75">
      <c r="A1041" s="1">
        <v>321</v>
      </c>
      <c r="B1041" s="1" t="s">
        <v>885</v>
      </c>
      <c r="C1041" s="27" t="s">
        <v>956</v>
      </c>
      <c r="D1041" s="168">
        <v>1725</v>
      </c>
      <c r="E1041" s="201">
        <v>44494</v>
      </c>
    </row>
    <row r="1042" spans="1:5" s="7" customFormat="1" ht="12.75">
      <c r="A1042" s="1">
        <v>322</v>
      </c>
      <c r="B1042" s="1" t="s">
        <v>885</v>
      </c>
      <c r="C1042" s="27" t="s">
        <v>956</v>
      </c>
      <c r="D1042" s="168">
        <v>1725</v>
      </c>
      <c r="E1042" s="201">
        <v>44494</v>
      </c>
    </row>
    <row r="1043" spans="1:5" s="7" customFormat="1" ht="12.75">
      <c r="A1043" s="1">
        <v>323</v>
      </c>
      <c r="B1043" s="1" t="s">
        <v>885</v>
      </c>
      <c r="C1043" s="27" t="s">
        <v>956</v>
      </c>
      <c r="D1043" s="168">
        <v>1725</v>
      </c>
      <c r="E1043" s="201">
        <v>44516</v>
      </c>
    </row>
    <row r="1044" spans="1:5" s="7" customFormat="1" ht="12.75">
      <c r="A1044" s="1">
        <v>324</v>
      </c>
      <c r="B1044" s="1" t="s">
        <v>885</v>
      </c>
      <c r="C1044" s="27" t="s">
        <v>956</v>
      </c>
      <c r="D1044" s="168">
        <v>1725</v>
      </c>
      <c r="E1044" s="201">
        <v>44527</v>
      </c>
    </row>
    <row r="1045" spans="1:5" s="7" customFormat="1" ht="12.75">
      <c r="A1045" s="1">
        <v>325</v>
      </c>
      <c r="B1045" s="1" t="s">
        <v>1245</v>
      </c>
      <c r="C1045" s="27" t="s">
        <v>956</v>
      </c>
      <c r="D1045" s="168">
        <v>1725</v>
      </c>
      <c r="E1045" s="201">
        <v>44229</v>
      </c>
    </row>
    <row r="1046" spans="1:5" s="7" customFormat="1" ht="12.75">
      <c r="A1046" s="1">
        <v>326</v>
      </c>
      <c r="B1046" s="1" t="s">
        <v>785</v>
      </c>
      <c r="C1046" s="27" t="s">
        <v>956</v>
      </c>
      <c r="D1046" s="168">
        <v>1725</v>
      </c>
      <c r="E1046" s="201">
        <v>44494</v>
      </c>
    </row>
    <row r="1047" spans="1:5" s="7" customFormat="1" ht="12.75">
      <c r="A1047" s="1">
        <v>327</v>
      </c>
      <c r="B1047" s="1" t="s">
        <v>785</v>
      </c>
      <c r="C1047" s="27" t="s">
        <v>956</v>
      </c>
      <c r="D1047" s="168">
        <v>1725</v>
      </c>
      <c r="E1047" s="201">
        <v>44509</v>
      </c>
    </row>
    <row r="1048" spans="1:5" s="7" customFormat="1" ht="12.75">
      <c r="A1048" s="1">
        <v>328</v>
      </c>
      <c r="B1048" s="1" t="s">
        <v>785</v>
      </c>
      <c r="C1048" s="27" t="s">
        <v>956</v>
      </c>
      <c r="D1048" s="168">
        <v>1725</v>
      </c>
      <c r="E1048" s="201">
        <v>44522</v>
      </c>
    </row>
    <row r="1049" spans="1:5" s="7" customFormat="1" ht="12.75">
      <c r="A1049" s="1">
        <v>329</v>
      </c>
      <c r="B1049" s="1" t="s">
        <v>785</v>
      </c>
      <c r="C1049" s="27" t="s">
        <v>956</v>
      </c>
      <c r="D1049" s="168">
        <v>1725</v>
      </c>
      <c r="E1049" s="201">
        <v>44527</v>
      </c>
    </row>
    <row r="1050" spans="1:5" s="7" customFormat="1" ht="12.75">
      <c r="A1050" s="1">
        <v>330</v>
      </c>
      <c r="B1050" s="1" t="s">
        <v>785</v>
      </c>
      <c r="C1050" s="27" t="s">
        <v>573</v>
      </c>
      <c r="D1050" s="168">
        <v>79153.08</v>
      </c>
      <c r="E1050" s="201">
        <v>44547</v>
      </c>
    </row>
    <row r="1051" spans="1:5" s="7" customFormat="1" ht="12.75">
      <c r="A1051" s="1">
        <v>331</v>
      </c>
      <c r="B1051" s="1" t="s">
        <v>1246</v>
      </c>
      <c r="C1051" s="27" t="s">
        <v>956</v>
      </c>
      <c r="D1051" s="168">
        <v>1725</v>
      </c>
      <c r="E1051" s="201">
        <v>44516</v>
      </c>
    </row>
    <row r="1052" spans="1:5" s="7" customFormat="1" ht="12.75">
      <c r="A1052" s="1">
        <v>332</v>
      </c>
      <c r="B1052" s="1" t="s">
        <v>1247</v>
      </c>
      <c r="C1052" s="27" t="s">
        <v>956</v>
      </c>
      <c r="D1052" s="168">
        <v>1725</v>
      </c>
      <c r="E1052" s="201">
        <v>44488</v>
      </c>
    </row>
    <row r="1053" spans="1:5" s="7" customFormat="1" ht="12.75">
      <c r="A1053" s="1">
        <v>333</v>
      </c>
      <c r="B1053" s="1" t="s">
        <v>1248</v>
      </c>
      <c r="C1053" s="27" t="s">
        <v>956</v>
      </c>
      <c r="D1053" s="168">
        <v>1725</v>
      </c>
      <c r="E1053" s="201">
        <v>44246</v>
      </c>
    </row>
    <row r="1054" spans="1:5" s="7" customFormat="1" ht="12.75">
      <c r="A1054" s="1">
        <v>334</v>
      </c>
      <c r="B1054" s="1" t="s">
        <v>1249</v>
      </c>
      <c r="C1054" s="27" t="s">
        <v>956</v>
      </c>
      <c r="D1054" s="168">
        <v>1725</v>
      </c>
      <c r="E1054" s="201">
        <v>44215</v>
      </c>
    </row>
    <row r="1055" spans="1:5" s="7" customFormat="1" ht="12.75">
      <c r="A1055" s="1">
        <v>335</v>
      </c>
      <c r="B1055" s="1" t="s">
        <v>1250</v>
      </c>
      <c r="C1055" s="1" t="s">
        <v>956</v>
      </c>
      <c r="D1055" s="168">
        <v>1725</v>
      </c>
      <c r="E1055" s="201">
        <v>44272</v>
      </c>
    </row>
    <row r="1056" spans="1:5" s="7" customFormat="1" ht="12.75">
      <c r="A1056" s="1">
        <v>336</v>
      </c>
      <c r="B1056" s="1" t="s">
        <v>1251</v>
      </c>
      <c r="C1056" s="27" t="s">
        <v>956</v>
      </c>
      <c r="D1056" s="168">
        <v>1725</v>
      </c>
      <c r="E1056" s="201">
        <v>44251</v>
      </c>
    </row>
    <row r="1057" spans="1:5" s="7" customFormat="1" ht="12.75">
      <c r="A1057" s="1">
        <v>337</v>
      </c>
      <c r="B1057" s="1" t="s">
        <v>1252</v>
      </c>
      <c r="C1057" s="27" t="s">
        <v>956</v>
      </c>
      <c r="D1057" s="168">
        <v>1725</v>
      </c>
      <c r="E1057" s="201">
        <v>44516</v>
      </c>
    </row>
    <row r="1058" spans="1:5" s="7" customFormat="1" ht="12.75">
      <c r="A1058" s="1">
        <v>338</v>
      </c>
      <c r="B1058" s="1" t="s">
        <v>1253</v>
      </c>
      <c r="C1058" s="27" t="s">
        <v>956</v>
      </c>
      <c r="D1058" s="168">
        <v>1725</v>
      </c>
      <c r="E1058" s="201">
        <v>44516</v>
      </c>
    </row>
    <row r="1059" spans="1:5" s="7" customFormat="1" ht="12.75">
      <c r="A1059" s="1">
        <v>339</v>
      </c>
      <c r="B1059" s="1" t="s">
        <v>888</v>
      </c>
      <c r="C1059" s="27" t="s">
        <v>956</v>
      </c>
      <c r="D1059" s="168">
        <v>1725</v>
      </c>
      <c r="E1059" s="201">
        <v>44501</v>
      </c>
    </row>
    <row r="1060" spans="1:5" s="7" customFormat="1" ht="12.75">
      <c r="A1060" s="1">
        <v>340</v>
      </c>
      <c r="B1060" s="1" t="s">
        <v>888</v>
      </c>
      <c r="C1060" s="27" t="s">
        <v>573</v>
      </c>
      <c r="D1060" s="168">
        <v>118570.48</v>
      </c>
      <c r="E1060" s="201">
        <v>44547</v>
      </c>
    </row>
    <row r="1061" spans="1:5" s="7" customFormat="1" ht="12.75">
      <c r="A1061" s="1">
        <v>341</v>
      </c>
      <c r="B1061" s="1" t="s">
        <v>1254</v>
      </c>
      <c r="C1061" s="1" t="s">
        <v>956</v>
      </c>
      <c r="D1061" s="168">
        <v>1725</v>
      </c>
      <c r="E1061" s="201">
        <v>44272</v>
      </c>
    </row>
    <row r="1062" spans="1:5" s="7" customFormat="1" ht="12.75">
      <c r="A1062" s="1">
        <v>342</v>
      </c>
      <c r="B1062" s="1" t="s">
        <v>1255</v>
      </c>
      <c r="C1062" s="27" t="s">
        <v>956</v>
      </c>
      <c r="D1062" s="168">
        <v>1725</v>
      </c>
      <c r="E1062" s="201">
        <v>44210</v>
      </c>
    </row>
    <row r="1063" spans="1:5" s="7" customFormat="1" ht="12.75">
      <c r="A1063" s="1">
        <v>343</v>
      </c>
      <c r="B1063" s="1" t="s">
        <v>1256</v>
      </c>
      <c r="C1063" s="27" t="s">
        <v>956</v>
      </c>
      <c r="D1063" s="168">
        <v>1725</v>
      </c>
      <c r="E1063" s="201">
        <v>44488</v>
      </c>
    </row>
    <row r="1064" spans="1:5" s="7" customFormat="1" ht="12.75">
      <c r="A1064" s="1">
        <v>344</v>
      </c>
      <c r="B1064" s="1" t="s">
        <v>1257</v>
      </c>
      <c r="C1064" s="27" t="s">
        <v>573</v>
      </c>
      <c r="D1064" s="168">
        <f>32637.29+11403.35</f>
        <v>44040.64</v>
      </c>
      <c r="E1064" s="201">
        <v>44550</v>
      </c>
    </row>
    <row r="1065" spans="1:5" ht="12.75">
      <c r="A1065" s="1">
        <v>345</v>
      </c>
      <c r="B1065" s="1" t="s">
        <v>682</v>
      </c>
      <c r="C1065" s="27" t="s">
        <v>956</v>
      </c>
      <c r="D1065" s="168">
        <v>690</v>
      </c>
      <c r="E1065" s="201">
        <v>44501</v>
      </c>
    </row>
    <row r="1066" spans="1:5" ht="12.75">
      <c r="A1066" s="1">
        <v>346</v>
      </c>
      <c r="B1066" s="1" t="s">
        <v>685</v>
      </c>
      <c r="C1066" s="27" t="s">
        <v>956</v>
      </c>
      <c r="D1066" s="168">
        <v>1035</v>
      </c>
      <c r="E1066" s="201">
        <v>44494</v>
      </c>
    </row>
    <row r="1067" spans="1:5" ht="12.75">
      <c r="A1067" s="1">
        <v>347</v>
      </c>
      <c r="B1067" s="1" t="s">
        <v>1258</v>
      </c>
      <c r="C1067" s="27" t="s">
        <v>956</v>
      </c>
      <c r="D1067" s="168">
        <v>1725</v>
      </c>
      <c r="E1067" s="201">
        <v>44215</v>
      </c>
    </row>
    <row r="1068" spans="1:5" ht="12.75">
      <c r="A1068" s="1">
        <v>348</v>
      </c>
      <c r="B1068" s="1" t="s">
        <v>1259</v>
      </c>
      <c r="C1068" s="1" t="s">
        <v>956</v>
      </c>
      <c r="D1068" s="168">
        <v>1035</v>
      </c>
      <c r="E1068" s="201">
        <v>44291</v>
      </c>
    </row>
    <row r="1069" spans="1:5" ht="12.75">
      <c r="A1069" s="1">
        <v>349</v>
      </c>
      <c r="B1069" s="1" t="s">
        <v>1260</v>
      </c>
      <c r="C1069" s="27" t="s">
        <v>956</v>
      </c>
      <c r="D1069" s="168">
        <v>1035</v>
      </c>
      <c r="E1069" s="201">
        <v>44210</v>
      </c>
    </row>
    <row r="1070" spans="1:5" ht="12.75">
      <c r="A1070" s="1">
        <v>350</v>
      </c>
      <c r="B1070" s="1" t="s">
        <v>1261</v>
      </c>
      <c r="C1070" s="27" t="s">
        <v>573</v>
      </c>
      <c r="D1070" s="168">
        <v>71841.05</v>
      </c>
      <c r="E1070" s="201">
        <v>44547</v>
      </c>
    </row>
    <row r="1071" spans="1:5" ht="12.75">
      <c r="A1071" s="1">
        <v>351</v>
      </c>
      <c r="B1071" s="1" t="s">
        <v>1262</v>
      </c>
      <c r="C1071" s="27" t="s">
        <v>956</v>
      </c>
      <c r="D1071" s="168">
        <v>1725</v>
      </c>
      <c r="E1071" s="201">
        <v>44234</v>
      </c>
    </row>
    <row r="1072" spans="1:5" ht="12.75">
      <c r="A1072" s="1">
        <v>352</v>
      </c>
      <c r="B1072" s="1" t="s">
        <v>1263</v>
      </c>
      <c r="C1072" s="27" t="s">
        <v>956</v>
      </c>
      <c r="D1072" s="168">
        <v>1725</v>
      </c>
      <c r="E1072" s="201">
        <v>44251</v>
      </c>
    </row>
    <row r="1073" spans="1:5" ht="12.75">
      <c r="A1073" s="1">
        <v>353</v>
      </c>
      <c r="B1073" s="1" t="s">
        <v>1264</v>
      </c>
      <c r="C1073" s="27" t="s">
        <v>956</v>
      </c>
      <c r="D1073" s="168">
        <v>1725</v>
      </c>
      <c r="E1073" s="201">
        <v>44256</v>
      </c>
    </row>
    <row r="1074" spans="1:5" ht="12.75">
      <c r="A1074" s="1">
        <v>354</v>
      </c>
      <c r="B1074" s="1" t="s">
        <v>1265</v>
      </c>
      <c r="C1074" s="27" t="s">
        <v>956</v>
      </c>
      <c r="D1074" s="168">
        <v>1725</v>
      </c>
      <c r="E1074" s="201">
        <v>44246</v>
      </c>
    </row>
    <row r="1075" spans="1:5" ht="12.75">
      <c r="A1075" s="1">
        <v>355</v>
      </c>
      <c r="B1075" s="1" t="s">
        <v>790</v>
      </c>
      <c r="C1075" s="1" t="s">
        <v>1266</v>
      </c>
      <c r="D1075" s="168">
        <v>101361.65</v>
      </c>
      <c r="E1075" s="201">
        <v>44277</v>
      </c>
    </row>
    <row r="1076" spans="1:5" ht="12.75">
      <c r="A1076" s="1">
        <v>356</v>
      </c>
      <c r="B1076" s="1" t="s">
        <v>790</v>
      </c>
      <c r="C1076" s="1" t="s">
        <v>970</v>
      </c>
      <c r="D1076" s="168">
        <v>223463.97</v>
      </c>
      <c r="E1076" s="201">
        <v>44287</v>
      </c>
    </row>
    <row r="1077" spans="1:5" ht="12.75">
      <c r="A1077" s="1">
        <v>357</v>
      </c>
      <c r="B1077" s="1" t="s">
        <v>1267</v>
      </c>
      <c r="C1077" s="27" t="s">
        <v>1171</v>
      </c>
      <c r="D1077" s="168">
        <v>9575</v>
      </c>
      <c r="E1077" s="201">
        <v>44551</v>
      </c>
    </row>
    <row r="1078" spans="1:5" ht="12.75">
      <c r="A1078" s="1">
        <v>358</v>
      </c>
      <c r="B1078" s="1" t="s">
        <v>1268</v>
      </c>
      <c r="C1078" s="27" t="s">
        <v>956</v>
      </c>
      <c r="D1078" s="168">
        <v>1035</v>
      </c>
      <c r="E1078" s="201">
        <v>44488</v>
      </c>
    </row>
    <row r="1079" spans="1:5" ht="12.75">
      <c r="A1079" s="1">
        <v>359</v>
      </c>
      <c r="B1079" s="1" t="s">
        <v>1268</v>
      </c>
      <c r="C1079" s="27" t="s">
        <v>956</v>
      </c>
      <c r="D1079" s="168">
        <v>1035</v>
      </c>
      <c r="E1079" s="201">
        <v>44516</v>
      </c>
    </row>
    <row r="1080" spans="1:5" ht="12.75">
      <c r="A1080" s="1">
        <v>360</v>
      </c>
      <c r="B1080" s="1" t="s">
        <v>1269</v>
      </c>
      <c r="C1080" s="27" t="s">
        <v>956</v>
      </c>
      <c r="D1080" s="168">
        <v>690</v>
      </c>
      <c r="E1080" s="201">
        <v>44501</v>
      </c>
    </row>
    <row r="1081" spans="1:5" ht="12.75">
      <c r="A1081" s="1">
        <v>361</v>
      </c>
      <c r="B1081" s="1" t="s">
        <v>1269</v>
      </c>
      <c r="C1081" s="27" t="s">
        <v>956</v>
      </c>
      <c r="D1081" s="168">
        <v>690</v>
      </c>
      <c r="E1081" s="201">
        <v>44522</v>
      </c>
    </row>
    <row r="1082" spans="1:5" ht="12.75">
      <c r="A1082" s="1">
        <v>362</v>
      </c>
      <c r="B1082" s="1" t="s">
        <v>1270</v>
      </c>
      <c r="C1082" s="27" t="s">
        <v>573</v>
      </c>
      <c r="D1082" s="168">
        <v>44386.28</v>
      </c>
      <c r="E1082" s="201">
        <v>44546</v>
      </c>
    </row>
    <row r="1083" spans="1:5" ht="12.75">
      <c r="A1083" s="1">
        <v>363</v>
      </c>
      <c r="B1083" s="1" t="s">
        <v>1271</v>
      </c>
      <c r="C1083" s="27" t="s">
        <v>956</v>
      </c>
      <c r="D1083" s="168">
        <v>1035</v>
      </c>
      <c r="E1083" s="201">
        <v>44221</v>
      </c>
    </row>
    <row r="1084" spans="1:5" ht="12.75">
      <c r="A1084" s="1">
        <v>364</v>
      </c>
      <c r="B1084" s="1" t="s">
        <v>1062</v>
      </c>
      <c r="C1084" s="1" t="s">
        <v>1116</v>
      </c>
      <c r="D1084" s="168">
        <f>100282.54+29884.98</f>
        <v>130167.51999999999</v>
      </c>
      <c r="E1084" s="201">
        <v>44406</v>
      </c>
    </row>
    <row r="1085" spans="1:5" ht="12.75">
      <c r="A1085" s="1">
        <v>365</v>
      </c>
      <c r="B1085" s="1" t="s">
        <v>1272</v>
      </c>
      <c r="C1085" s="27" t="s">
        <v>956</v>
      </c>
      <c r="D1085" s="168">
        <v>690</v>
      </c>
      <c r="E1085" s="201">
        <v>44527</v>
      </c>
    </row>
    <row r="1086" spans="1:5" ht="12.75">
      <c r="A1086" s="1">
        <v>366</v>
      </c>
      <c r="B1086" s="1" t="s">
        <v>889</v>
      </c>
      <c r="C1086" s="27" t="s">
        <v>956</v>
      </c>
      <c r="D1086" s="168">
        <v>1035</v>
      </c>
      <c r="E1086" s="201">
        <v>44501</v>
      </c>
    </row>
    <row r="1087" spans="1:5" ht="12.75">
      <c r="A1087" s="1">
        <v>367</v>
      </c>
      <c r="B1087" s="1" t="s">
        <v>1273</v>
      </c>
      <c r="C1087" s="1" t="s">
        <v>510</v>
      </c>
      <c r="D1087" s="168">
        <v>55400.77</v>
      </c>
      <c r="E1087" s="201">
        <v>44392</v>
      </c>
    </row>
    <row r="1088" spans="1:5" ht="12.75">
      <c r="A1088" s="1">
        <v>368</v>
      </c>
      <c r="B1088" s="1" t="s">
        <v>1274</v>
      </c>
      <c r="C1088" s="27" t="s">
        <v>956</v>
      </c>
      <c r="D1088" s="168">
        <v>690</v>
      </c>
      <c r="E1088" s="201">
        <v>44488</v>
      </c>
    </row>
    <row r="1089" spans="1:5" ht="12.75">
      <c r="A1089" s="1">
        <v>369</v>
      </c>
      <c r="B1089" s="1" t="s">
        <v>692</v>
      </c>
      <c r="C1089" s="27" t="s">
        <v>1275</v>
      </c>
      <c r="D1089" s="168">
        <v>1609.8</v>
      </c>
      <c r="E1089" s="201">
        <v>44364</v>
      </c>
    </row>
    <row r="1090" spans="1:5" ht="12.75">
      <c r="A1090" s="1">
        <v>370</v>
      </c>
      <c r="B1090" s="1" t="s">
        <v>692</v>
      </c>
      <c r="C1090" s="27" t="s">
        <v>956</v>
      </c>
      <c r="D1090" s="168">
        <v>1725</v>
      </c>
      <c r="E1090" s="201">
        <v>44509</v>
      </c>
    </row>
    <row r="1091" spans="1:5" ht="12.75">
      <c r="A1091" s="1">
        <v>371</v>
      </c>
      <c r="B1091" s="1" t="s">
        <v>692</v>
      </c>
      <c r="C1091" s="27" t="s">
        <v>956</v>
      </c>
      <c r="D1091" s="168">
        <v>1725</v>
      </c>
      <c r="E1091" s="201">
        <v>44516</v>
      </c>
    </row>
    <row r="1092" spans="1:5" ht="12.75">
      <c r="A1092" s="1">
        <v>372</v>
      </c>
      <c r="B1092" s="1" t="s">
        <v>692</v>
      </c>
      <c r="C1092" s="27" t="s">
        <v>956</v>
      </c>
      <c r="D1092" s="168">
        <v>1725</v>
      </c>
      <c r="E1092" s="201">
        <v>44531</v>
      </c>
    </row>
    <row r="1093" spans="1:5" ht="12.75">
      <c r="A1093" s="1">
        <v>373</v>
      </c>
      <c r="B1093" s="1" t="s">
        <v>692</v>
      </c>
      <c r="C1093" s="27" t="s">
        <v>573</v>
      </c>
      <c r="D1093" s="168">
        <v>128996.52</v>
      </c>
      <c r="E1093" s="201">
        <v>44547</v>
      </c>
    </row>
    <row r="1094" spans="1:5" ht="12.75">
      <c r="A1094" s="1">
        <v>374</v>
      </c>
      <c r="B1094" s="1" t="s">
        <v>1276</v>
      </c>
      <c r="C1094" s="27" t="s">
        <v>956</v>
      </c>
      <c r="D1094" s="168">
        <v>1725</v>
      </c>
      <c r="E1094" s="201">
        <v>44264</v>
      </c>
    </row>
    <row r="1095" spans="1:5" ht="12.75">
      <c r="A1095" s="1">
        <v>375</v>
      </c>
      <c r="B1095" s="1" t="s">
        <v>1277</v>
      </c>
      <c r="C1095" s="27" t="s">
        <v>956</v>
      </c>
      <c r="D1095" s="168">
        <v>1725</v>
      </c>
      <c r="E1095" s="201">
        <v>44215</v>
      </c>
    </row>
    <row r="1096" spans="1:5" ht="12.75">
      <c r="A1096" s="1">
        <v>376</v>
      </c>
      <c r="B1096" s="1" t="s">
        <v>1278</v>
      </c>
      <c r="C1096" s="27" t="s">
        <v>956</v>
      </c>
      <c r="D1096" s="168">
        <v>1725</v>
      </c>
      <c r="E1096" s="201">
        <v>44229</v>
      </c>
    </row>
    <row r="1097" spans="1:5" ht="12.75">
      <c r="A1097" s="1">
        <v>377</v>
      </c>
      <c r="B1097" s="1" t="s">
        <v>693</v>
      </c>
      <c r="C1097" s="27" t="s">
        <v>956</v>
      </c>
      <c r="D1097" s="168">
        <v>1035</v>
      </c>
      <c r="E1097" s="201">
        <v>44531</v>
      </c>
    </row>
    <row r="1098" spans="1:5" ht="12.75">
      <c r="A1098" s="1">
        <v>378</v>
      </c>
      <c r="B1098" s="1" t="s">
        <v>794</v>
      </c>
      <c r="C1098" s="27" t="s">
        <v>573</v>
      </c>
      <c r="D1098" s="168">
        <v>44031.95</v>
      </c>
      <c r="E1098" s="201">
        <v>44550</v>
      </c>
    </row>
    <row r="1099" spans="1:5" ht="12.75">
      <c r="A1099" s="1">
        <v>379</v>
      </c>
      <c r="B1099" s="1" t="s">
        <v>1279</v>
      </c>
      <c r="C1099" s="27" t="s">
        <v>1280</v>
      </c>
      <c r="D1099" s="168">
        <v>2291.98</v>
      </c>
      <c r="E1099" s="201">
        <v>44488</v>
      </c>
    </row>
    <row r="1100" spans="1:5" ht="12.75">
      <c r="A1100" s="1">
        <v>380</v>
      </c>
      <c r="B1100" s="1" t="s">
        <v>560</v>
      </c>
      <c r="C1100" s="27" t="s">
        <v>956</v>
      </c>
      <c r="D1100" s="168">
        <v>1035</v>
      </c>
      <c r="E1100" s="201">
        <v>44522</v>
      </c>
    </row>
    <row r="1101" spans="1:5" ht="12.75">
      <c r="A1101" s="1">
        <v>381</v>
      </c>
      <c r="B1101" s="1" t="s">
        <v>1281</v>
      </c>
      <c r="C1101" s="27" t="s">
        <v>956</v>
      </c>
      <c r="D1101" s="168">
        <v>1035</v>
      </c>
      <c r="E1101" s="201">
        <v>44229</v>
      </c>
    </row>
    <row r="1102" spans="1:5" ht="12.75">
      <c r="A1102" s="1">
        <v>382</v>
      </c>
      <c r="B1102" s="1" t="s">
        <v>796</v>
      </c>
      <c r="C1102" s="27" t="s">
        <v>956</v>
      </c>
      <c r="D1102" s="168">
        <v>690</v>
      </c>
      <c r="E1102" s="201">
        <v>44494</v>
      </c>
    </row>
    <row r="1103" spans="1:5" ht="12.75">
      <c r="A1103" s="1">
        <v>383</v>
      </c>
      <c r="B1103" s="1" t="s">
        <v>1282</v>
      </c>
      <c r="C1103" s="27" t="s">
        <v>956</v>
      </c>
      <c r="D1103" s="168">
        <v>690</v>
      </c>
      <c r="E1103" s="201">
        <v>44497</v>
      </c>
    </row>
    <row r="1104" spans="1:5" ht="12.75">
      <c r="A1104" s="1">
        <v>384</v>
      </c>
      <c r="B1104" s="1" t="s">
        <v>949</v>
      </c>
      <c r="C1104" s="27" t="s">
        <v>956</v>
      </c>
      <c r="D1104" s="168">
        <v>1725</v>
      </c>
      <c r="E1104" s="201">
        <v>44501</v>
      </c>
    </row>
    <row r="1105" spans="1:5" ht="12.75">
      <c r="A1105" s="1">
        <v>385</v>
      </c>
      <c r="B1105" s="1" t="s">
        <v>797</v>
      </c>
      <c r="C1105" s="27" t="s">
        <v>956</v>
      </c>
      <c r="D1105" s="168">
        <v>1725</v>
      </c>
      <c r="E1105" s="201">
        <v>44494</v>
      </c>
    </row>
    <row r="1106" spans="1:5" ht="12.75">
      <c r="A1106" s="1">
        <v>386</v>
      </c>
      <c r="B1106" s="1" t="s">
        <v>797</v>
      </c>
      <c r="C1106" s="27" t="s">
        <v>573</v>
      </c>
      <c r="D1106" s="168">
        <v>104618.09</v>
      </c>
      <c r="E1106" s="201">
        <v>44547</v>
      </c>
    </row>
    <row r="1107" spans="1:5" ht="12.75">
      <c r="A1107" s="1">
        <v>387</v>
      </c>
      <c r="B1107" s="1" t="s">
        <v>1068</v>
      </c>
      <c r="C1107" s="27" t="s">
        <v>956</v>
      </c>
      <c r="D1107" s="168">
        <v>1725</v>
      </c>
      <c r="E1107" s="201">
        <v>44501</v>
      </c>
    </row>
    <row r="1108" spans="1:5" ht="12.75">
      <c r="A1108" s="1">
        <v>388</v>
      </c>
      <c r="B1108" s="1" t="s">
        <v>1068</v>
      </c>
      <c r="C1108" s="27" t="s">
        <v>956</v>
      </c>
      <c r="D1108" s="168">
        <v>1725</v>
      </c>
      <c r="E1108" s="201">
        <v>44522</v>
      </c>
    </row>
    <row r="1109" spans="1:5" ht="12.75">
      <c r="A1109" s="1">
        <v>389</v>
      </c>
      <c r="B1109" s="1" t="s">
        <v>1283</v>
      </c>
      <c r="C1109" s="27" t="s">
        <v>956</v>
      </c>
      <c r="D1109" s="168">
        <v>1725</v>
      </c>
      <c r="E1109" s="201">
        <v>44215</v>
      </c>
    </row>
    <row r="1110" spans="1:5" ht="12.75">
      <c r="A1110" s="1">
        <v>390</v>
      </c>
      <c r="B1110" s="1" t="s">
        <v>1284</v>
      </c>
      <c r="C1110" s="27" t="s">
        <v>956</v>
      </c>
      <c r="D1110" s="168">
        <f>1725+1725</f>
        <v>3450</v>
      </c>
      <c r="E1110" s="201">
        <v>44509</v>
      </c>
    </row>
    <row r="1111" spans="1:5" ht="12.75">
      <c r="A1111" s="1">
        <v>391</v>
      </c>
      <c r="B1111" s="1" t="s">
        <v>1285</v>
      </c>
      <c r="C1111" s="27" t="s">
        <v>956</v>
      </c>
      <c r="D1111" s="168">
        <v>1725</v>
      </c>
      <c r="E1111" s="201">
        <v>44527</v>
      </c>
    </row>
    <row r="1112" spans="1:5" ht="12.75">
      <c r="A1112" s="1">
        <v>392</v>
      </c>
      <c r="B1112" s="1" t="s">
        <v>1286</v>
      </c>
      <c r="C1112" s="27" t="s">
        <v>956</v>
      </c>
      <c r="D1112" s="168">
        <v>690</v>
      </c>
      <c r="E1112" s="201">
        <v>44501</v>
      </c>
    </row>
    <row r="1113" spans="1:5" ht="12.75">
      <c r="A1113" s="1">
        <v>393</v>
      </c>
      <c r="B1113" s="1" t="s">
        <v>1287</v>
      </c>
      <c r="C1113" s="27" t="s">
        <v>956</v>
      </c>
      <c r="D1113" s="168">
        <v>1725</v>
      </c>
      <c r="E1113" s="201">
        <v>44215</v>
      </c>
    </row>
    <row r="1114" spans="1:5" ht="12.75">
      <c r="A1114" s="1">
        <v>394</v>
      </c>
      <c r="B1114" s="1" t="s">
        <v>798</v>
      </c>
      <c r="C1114" s="27" t="s">
        <v>956</v>
      </c>
      <c r="D1114" s="168">
        <v>1725</v>
      </c>
      <c r="E1114" s="201">
        <v>44509</v>
      </c>
    </row>
    <row r="1115" spans="1:5" ht="12.75">
      <c r="A1115" s="1">
        <v>395</v>
      </c>
      <c r="B1115" s="1" t="s">
        <v>798</v>
      </c>
      <c r="C1115" s="27" t="s">
        <v>573</v>
      </c>
      <c r="D1115" s="168">
        <v>121878.19</v>
      </c>
      <c r="E1115" s="201">
        <v>44547</v>
      </c>
    </row>
    <row r="1116" spans="1:5" ht="12.75">
      <c r="A1116" s="1">
        <v>396</v>
      </c>
      <c r="B1116" s="1" t="s">
        <v>1288</v>
      </c>
      <c r="C1116" s="27" t="s">
        <v>956</v>
      </c>
      <c r="D1116" s="168">
        <v>1725</v>
      </c>
      <c r="E1116" s="201">
        <v>44488</v>
      </c>
    </row>
    <row r="1117" spans="1:5" ht="12.75">
      <c r="A1117" s="1"/>
      <c r="B1117" s="1"/>
      <c r="C1117" s="27"/>
      <c r="D1117" s="9">
        <f>SUM(D720:D1116)</f>
        <v>7104023.379999999</v>
      </c>
      <c r="E1117" s="201"/>
    </row>
    <row r="1118" spans="1:5" ht="12.75">
      <c r="A1118" s="1"/>
      <c r="B1118" s="44" t="s">
        <v>1289</v>
      </c>
      <c r="C1118" s="44"/>
      <c r="D1118" s="9"/>
      <c r="E1118" s="44"/>
    </row>
    <row r="1119" spans="1:5" ht="12.75">
      <c r="A1119" s="1"/>
      <c r="B1119" s="1"/>
      <c r="C1119" s="1"/>
      <c r="D1119" s="168"/>
      <c r="E1119" s="1"/>
    </row>
    <row r="1120" spans="1:4" ht="12.75">
      <c r="A1120" s="42"/>
      <c r="D1120" s="202"/>
    </row>
    <row r="1121" spans="1:5" ht="18">
      <c r="A1121" s="226" t="s">
        <v>1290</v>
      </c>
      <c r="B1121" s="226"/>
      <c r="C1121" s="226"/>
      <c r="D1121" s="226"/>
      <c r="E1121" s="226"/>
    </row>
    <row r="1122" spans="1:5" ht="18">
      <c r="A1122" s="206"/>
      <c r="B1122" s="206"/>
      <c r="C1122" s="206"/>
      <c r="D1122" s="215"/>
      <c r="E1122" s="206"/>
    </row>
    <row r="1123" spans="1:5" ht="18">
      <c r="A1123" s="206"/>
      <c r="B1123" s="206"/>
      <c r="C1123" s="206"/>
      <c r="D1123" s="215"/>
      <c r="E1123" s="206"/>
    </row>
    <row r="1124" spans="1:5" ht="12.75">
      <c r="A1124" s="41" t="s">
        <v>482</v>
      </c>
      <c r="B1124" s="41" t="s">
        <v>370</v>
      </c>
      <c r="C1124" s="41" t="s">
        <v>483</v>
      </c>
      <c r="D1124" s="199" t="s">
        <v>484</v>
      </c>
      <c r="E1124" s="41" t="s">
        <v>485</v>
      </c>
    </row>
    <row r="1125" spans="1:5" ht="12.75">
      <c r="A1125" s="43" t="s">
        <v>1291</v>
      </c>
      <c r="B1125" s="43"/>
      <c r="C1125" s="43"/>
      <c r="D1125" s="200"/>
      <c r="E1125" s="43"/>
    </row>
    <row r="1126" spans="1:5" ht="12.75">
      <c r="A1126" s="1">
        <v>1</v>
      </c>
      <c r="B1126" s="1" t="s">
        <v>704</v>
      </c>
      <c r="C1126" s="1" t="s">
        <v>1292</v>
      </c>
      <c r="D1126" s="168">
        <v>16502</v>
      </c>
      <c r="E1126" s="201">
        <v>44629</v>
      </c>
    </row>
    <row r="1127" spans="1:5" ht="12.75">
      <c r="A1127" s="1">
        <v>2</v>
      </c>
      <c r="B1127" s="1" t="s">
        <v>1293</v>
      </c>
      <c r="C1127" s="1" t="s">
        <v>1116</v>
      </c>
      <c r="D1127" s="168">
        <v>103213.51</v>
      </c>
      <c r="E1127" s="201">
        <v>44795</v>
      </c>
    </row>
    <row r="1128" spans="1:5" ht="12.75">
      <c r="A1128" s="1">
        <v>3</v>
      </c>
      <c r="B1128" s="1" t="s">
        <v>709</v>
      </c>
      <c r="C1128" s="1" t="s">
        <v>1294</v>
      </c>
      <c r="D1128" s="168">
        <v>400000</v>
      </c>
      <c r="E1128" s="201">
        <v>44634</v>
      </c>
    </row>
    <row r="1129" spans="1:5" ht="12.75">
      <c r="A1129" s="1">
        <v>4</v>
      </c>
      <c r="B1129" s="1" t="s">
        <v>570</v>
      </c>
      <c r="C1129" s="1" t="s">
        <v>970</v>
      </c>
      <c r="D1129" s="168">
        <f>37979.97+78286.97</f>
        <v>116266.94</v>
      </c>
      <c r="E1129" s="201">
        <v>44704</v>
      </c>
    </row>
    <row r="1130" spans="1:5" ht="12.75">
      <c r="A1130" s="1">
        <v>5</v>
      </c>
      <c r="B1130" s="1" t="s">
        <v>570</v>
      </c>
      <c r="C1130" s="1" t="s">
        <v>1295</v>
      </c>
      <c r="D1130" s="168">
        <v>6261</v>
      </c>
      <c r="E1130" s="201">
        <v>44858</v>
      </c>
    </row>
    <row r="1131" spans="1:5" ht="12.75">
      <c r="A1131" s="1">
        <v>6</v>
      </c>
      <c r="B1131" s="1" t="s">
        <v>711</v>
      </c>
      <c r="C1131" s="1" t="s">
        <v>1295</v>
      </c>
      <c r="D1131" s="168">
        <v>6211</v>
      </c>
      <c r="E1131" s="201">
        <v>44774</v>
      </c>
    </row>
    <row r="1132" spans="1:5" ht="12.75">
      <c r="A1132" s="1">
        <v>7</v>
      </c>
      <c r="B1132" s="1" t="s">
        <v>572</v>
      </c>
      <c r="C1132" s="1" t="s">
        <v>1295</v>
      </c>
      <c r="D1132" s="168">
        <v>20700</v>
      </c>
      <c r="E1132" s="201">
        <v>44804</v>
      </c>
    </row>
    <row r="1133" spans="1:5" ht="12.75">
      <c r="A1133" s="1">
        <v>8</v>
      </c>
      <c r="B1133" s="1" t="s">
        <v>1296</v>
      </c>
      <c r="C1133" s="1" t="s">
        <v>1116</v>
      </c>
      <c r="D1133" s="168">
        <v>374762.34</v>
      </c>
      <c r="E1133" s="201">
        <v>44621</v>
      </c>
    </row>
    <row r="1134" spans="1:5" ht="12.75">
      <c r="A1134" s="1">
        <v>9</v>
      </c>
      <c r="B1134" s="1" t="s">
        <v>1297</v>
      </c>
      <c r="C1134" s="1" t="s">
        <v>1116</v>
      </c>
      <c r="D1134" s="168">
        <v>128050.85</v>
      </c>
      <c r="E1134" s="201">
        <v>44704</v>
      </c>
    </row>
    <row r="1135" spans="1:5" ht="12.75">
      <c r="A1135" s="1">
        <v>10</v>
      </c>
      <c r="B1135" s="1" t="s">
        <v>1298</v>
      </c>
      <c r="C1135" s="1" t="s">
        <v>1295</v>
      </c>
      <c r="D1135" s="168">
        <v>5472</v>
      </c>
      <c r="E1135" s="201">
        <v>44648</v>
      </c>
    </row>
    <row r="1136" spans="1:5" ht="12.75">
      <c r="A1136" s="1">
        <v>11</v>
      </c>
      <c r="B1136" s="1" t="s">
        <v>713</v>
      </c>
      <c r="C1136" s="1" t="s">
        <v>1295</v>
      </c>
      <c r="D1136" s="168">
        <v>7682</v>
      </c>
      <c r="E1136" s="201">
        <v>44792</v>
      </c>
    </row>
    <row r="1137" spans="1:5" ht="12.75">
      <c r="A1137" s="1">
        <v>12</v>
      </c>
      <c r="B1137" s="1" t="s">
        <v>1299</v>
      </c>
      <c r="C1137" s="1" t="s">
        <v>1300</v>
      </c>
      <c r="D1137" s="168">
        <f>37591.89+74857.07</f>
        <v>112448.96</v>
      </c>
      <c r="E1137" s="201">
        <v>44671</v>
      </c>
    </row>
    <row r="1138" spans="1:5" ht="12.75">
      <c r="A1138" s="1">
        <v>13</v>
      </c>
      <c r="B1138" s="1" t="s">
        <v>1299</v>
      </c>
      <c r="C1138" s="1" t="s">
        <v>1295</v>
      </c>
      <c r="D1138" s="168">
        <v>8795</v>
      </c>
      <c r="E1138" s="201">
        <v>44790</v>
      </c>
    </row>
    <row r="1139" spans="1:5" ht="12.75">
      <c r="A1139" s="1">
        <v>14</v>
      </c>
      <c r="B1139" s="1" t="s">
        <v>1083</v>
      </c>
      <c r="C1139" s="1" t="s">
        <v>1295</v>
      </c>
      <c r="D1139" s="168">
        <v>6261</v>
      </c>
      <c r="E1139" s="201">
        <v>44902</v>
      </c>
    </row>
    <row r="1140" spans="1:5" ht="12.75">
      <c r="A1140" s="1">
        <v>15</v>
      </c>
      <c r="B1140" s="1" t="s">
        <v>714</v>
      </c>
      <c r="C1140" s="1" t="s">
        <v>1295</v>
      </c>
      <c r="D1140" s="168">
        <v>18796</v>
      </c>
      <c r="E1140" s="201">
        <v>44834</v>
      </c>
    </row>
    <row r="1141" spans="1:5" ht="12.75">
      <c r="A1141" s="1">
        <v>16</v>
      </c>
      <c r="B1141" s="1" t="s">
        <v>1085</v>
      </c>
      <c r="C1141" s="1" t="s">
        <v>875</v>
      </c>
      <c r="D1141" s="168">
        <f>115745.95+131977.17</f>
        <v>247723.12</v>
      </c>
      <c r="E1141" s="201">
        <v>44673</v>
      </c>
    </row>
    <row r="1142" spans="1:5" ht="12.75">
      <c r="A1142" s="1">
        <v>17</v>
      </c>
      <c r="B1142" s="1" t="s">
        <v>1085</v>
      </c>
      <c r="C1142" s="1" t="s">
        <v>1295</v>
      </c>
      <c r="D1142" s="168">
        <f>14945.51+9820.49</f>
        <v>24766</v>
      </c>
      <c r="E1142" s="201">
        <v>44902</v>
      </c>
    </row>
    <row r="1143" spans="1:5" ht="12.75">
      <c r="A1143" s="1">
        <v>18</v>
      </c>
      <c r="B1143" s="1" t="s">
        <v>486</v>
      </c>
      <c r="C1143" s="1" t="s">
        <v>1295</v>
      </c>
      <c r="D1143" s="168">
        <v>23605</v>
      </c>
      <c r="E1143" s="201">
        <v>44813</v>
      </c>
    </row>
    <row r="1144" spans="1:5" ht="12.75">
      <c r="A1144" s="1">
        <v>19</v>
      </c>
      <c r="B1144" s="1" t="s">
        <v>717</v>
      </c>
      <c r="C1144" s="1" t="s">
        <v>1295</v>
      </c>
      <c r="D1144" s="168">
        <v>9575</v>
      </c>
      <c r="E1144" s="201">
        <v>44795</v>
      </c>
    </row>
    <row r="1145" spans="1:5" ht="12.75">
      <c r="A1145" s="1">
        <v>20</v>
      </c>
      <c r="B1145" s="1" t="s">
        <v>803</v>
      </c>
      <c r="C1145" s="1" t="s">
        <v>573</v>
      </c>
      <c r="D1145" s="216">
        <v>69889.07</v>
      </c>
      <c r="E1145" s="217" t="s">
        <v>1301</v>
      </c>
    </row>
    <row r="1146" spans="1:5" ht="12.75">
      <c r="A1146" s="1">
        <v>21</v>
      </c>
      <c r="B1146" s="1" t="s">
        <v>804</v>
      </c>
      <c r="C1146" s="1" t="s">
        <v>573</v>
      </c>
      <c r="D1146" s="216">
        <v>69889.07</v>
      </c>
      <c r="E1146" s="217" t="s">
        <v>1301</v>
      </c>
    </row>
    <row r="1147" spans="1:5" ht="12.75">
      <c r="A1147" s="1">
        <v>22</v>
      </c>
      <c r="B1147" s="1" t="s">
        <v>804</v>
      </c>
      <c r="C1147" s="1" t="s">
        <v>1295</v>
      </c>
      <c r="D1147" s="168">
        <v>17664</v>
      </c>
      <c r="E1147" s="201">
        <v>44804</v>
      </c>
    </row>
    <row r="1148" spans="1:5" ht="12.75">
      <c r="A1148" s="1">
        <v>23</v>
      </c>
      <c r="B1148" s="1" t="s">
        <v>489</v>
      </c>
      <c r="C1148" s="1" t="s">
        <v>1302</v>
      </c>
      <c r="D1148" s="168">
        <v>247086.18</v>
      </c>
      <c r="E1148" s="201">
        <v>44621</v>
      </c>
    </row>
    <row r="1149" spans="1:5" ht="12.75">
      <c r="A1149" s="1">
        <v>24</v>
      </c>
      <c r="B1149" s="1" t="s">
        <v>489</v>
      </c>
      <c r="C1149" s="1" t="s">
        <v>1303</v>
      </c>
      <c r="D1149" s="168">
        <v>115636.16</v>
      </c>
      <c r="E1149" s="201">
        <v>44743</v>
      </c>
    </row>
    <row r="1150" spans="1:5" ht="12.75">
      <c r="A1150" s="1">
        <v>25</v>
      </c>
      <c r="B1150" s="1" t="s">
        <v>489</v>
      </c>
      <c r="C1150" s="1" t="s">
        <v>573</v>
      </c>
      <c r="D1150" s="216">
        <v>66334.03</v>
      </c>
      <c r="E1150" s="217" t="s">
        <v>1301</v>
      </c>
    </row>
    <row r="1151" spans="1:5" ht="12.75">
      <c r="A1151" s="1">
        <v>26</v>
      </c>
      <c r="B1151" s="1" t="s">
        <v>492</v>
      </c>
      <c r="C1151" s="1" t="s">
        <v>573</v>
      </c>
      <c r="D1151" s="216">
        <v>59862.71</v>
      </c>
      <c r="E1151" s="217" t="s">
        <v>1301</v>
      </c>
    </row>
    <row r="1152" spans="1:5" ht="12.75">
      <c r="A1152" s="1">
        <v>27</v>
      </c>
      <c r="B1152" s="1" t="s">
        <v>720</v>
      </c>
      <c r="C1152" s="1" t="s">
        <v>875</v>
      </c>
      <c r="D1152" s="168">
        <v>199860.13</v>
      </c>
      <c r="E1152" s="201">
        <v>44658</v>
      </c>
    </row>
    <row r="1153" spans="1:5" ht="12.75">
      <c r="A1153" s="1">
        <v>28</v>
      </c>
      <c r="B1153" s="1" t="s">
        <v>720</v>
      </c>
      <c r="C1153" s="1" t="s">
        <v>1295</v>
      </c>
      <c r="D1153" s="168">
        <v>17006</v>
      </c>
      <c r="E1153" s="201">
        <v>44846</v>
      </c>
    </row>
    <row r="1154" spans="1:5" ht="12.75">
      <c r="A1154" s="1">
        <v>29</v>
      </c>
      <c r="B1154" s="1" t="s">
        <v>1304</v>
      </c>
      <c r="C1154" s="1" t="s">
        <v>1295</v>
      </c>
      <c r="D1154" s="168">
        <v>6355</v>
      </c>
      <c r="E1154" s="201">
        <v>44818</v>
      </c>
    </row>
    <row r="1155" spans="1:5" ht="12.75">
      <c r="A1155" s="1">
        <v>30</v>
      </c>
      <c r="B1155" s="1" t="s">
        <v>805</v>
      </c>
      <c r="C1155" s="1" t="s">
        <v>1295</v>
      </c>
      <c r="D1155" s="168">
        <v>4977</v>
      </c>
      <c r="E1155" s="201">
        <v>44818</v>
      </c>
    </row>
    <row r="1156" spans="1:5" ht="12.75">
      <c r="A1156" s="1">
        <v>31</v>
      </c>
      <c r="B1156" s="1" t="s">
        <v>501</v>
      </c>
      <c r="C1156" s="1" t="s">
        <v>1305</v>
      </c>
      <c r="D1156" s="168">
        <f>6714.69+14392.38</f>
        <v>21107.07</v>
      </c>
      <c r="E1156" s="201">
        <v>44608</v>
      </c>
    </row>
    <row r="1157" spans="1:5" ht="12.75">
      <c r="A1157" s="1">
        <v>32</v>
      </c>
      <c r="B1157" s="1" t="s">
        <v>1306</v>
      </c>
      <c r="C1157" s="1" t="s">
        <v>1295</v>
      </c>
      <c r="D1157" s="168">
        <v>15215</v>
      </c>
      <c r="E1157" s="201">
        <v>44834</v>
      </c>
    </row>
    <row r="1158" spans="1:5" ht="12.75">
      <c r="A1158" s="1">
        <v>33</v>
      </c>
      <c r="B1158" s="1" t="s">
        <v>1307</v>
      </c>
      <c r="C1158" s="1" t="s">
        <v>1295</v>
      </c>
      <c r="D1158" s="168">
        <v>12580</v>
      </c>
      <c r="E1158" s="201">
        <v>44812</v>
      </c>
    </row>
    <row r="1159" spans="1:5" ht="12.75">
      <c r="A1159" s="1">
        <v>34</v>
      </c>
      <c r="B1159" s="1" t="s">
        <v>1308</v>
      </c>
      <c r="C1159" s="1" t="s">
        <v>510</v>
      </c>
      <c r="D1159" s="168">
        <v>28804.07</v>
      </c>
      <c r="E1159" s="201">
        <v>44599</v>
      </c>
    </row>
    <row r="1160" spans="1:5" ht="12.75">
      <c r="A1160" s="1">
        <v>35</v>
      </c>
      <c r="B1160" s="1" t="s">
        <v>1309</v>
      </c>
      <c r="C1160" s="1" t="s">
        <v>1295</v>
      </c>
      <c r="D1160" s="168">
        <v>12827</v>
      </c>
      <c r="E1160" s="201">
        <v>44858</v>
      </c>
    </row>
    <row r="1161" spans="1:5" ht="12.75">
      <c r="A1161" s="1">
        <v>36</v>
      </c>
      <c r="B1161" s="1" t="s">
        <v>1310</v>
      </c>
      <c r="C1161" s="1" t="s">
        <v>1295</v>
      </c>
      <c r="D1161" s="168">
        <v>4470</v>
      </c>
      <c r="E1161" s="201">
        <v>44821</v>
      </c>
    </row>
    <row r="1162" spans="1:5" ht="12.75">
      <c r="A1162" s="1">
        <v>37</v>
      </c>
      <c r="B1162" s="1" t="s">
        <v>1311</v>
      </c>
      <c r="C1162" s="1" t="s">
        <v>875</v>
      </c>
      <c r="D1162" s="168">
        <f>28370.95+112118.55</f>
        <v>140489.5</v>
      </c>
      <c r="E1162" s="201">
        <v>44706</v>
      </c>
    </row>
    <row r="1163" spans="1:5" ht="12.75">
      <c r="A1163" s="1">
        <v>38</v>
      </c>
      <c r="B1163" s="1" t="s">
        <v>1312</v>
      </c>
      <c r="C1163" s="1" t="s">
        <v>1295</v>
      </c>
      <c r="D1163" s="168">
        <v>15215</v>
      </c>
      <c r="E1163" s="201">
        <v>44831</v>
      </c>
    </row>
    <row r="1164" spans="1:5" ht="12.75">
      <c r="A1164" s="1">
        <v>39</v>
      </c>
      <c r="B1164" s="1" t="s">
        <v>967</v>
      </c>
      <c r="C1164" s="1" t="s">
        <v>1295</v>
      </c>
      <c r="D1164" s="168">
        <v>12377</v>
      </c>
      <c r="E1164" s="201">
        <v>44798</v>
      </c>
    </row>
    <row r="1165" spans="1:5" ht="12.75">
      <c r="A1165" s="1">
        <v>40</v>
      </c>
      <c r="B1165" s="1" t="s">
        <v>589</v>
      </c>
      <c r="C1165" s="1" t="s">
        <v>1295</v>
      </c>
      <c r="D1165" s="168">
        <v>15215</v>
      </c>
      <c r="E1165" s="201">
        <v>44831</v>
      </c>
    </row>
    <row r="1166" spans="1:5" ht="12.75">
      <c r="A1166" s="1">
        <v>41</v>
      </c>
      <c r="B1166" s="1" t="s">
        <v>507</v>
      </c>
      <c r="C1166" s="1" t="s">
        <v>1295</v>
      </c>
      <c r="D1166" s="168">
        <v>10440</v>
      </c>
      <c r="E1166" s="201">
        <v>44860</v>
      </c>
    </row>
    <row r="1167" spans="1:5" ht="12.75">
      <c r="A1167" s="1">
        <v>42</v>
      </c>
      <c r="B1167" s="1" t="s">
        <v>509</v>
      </c>
      <c r="C1167" s="1" t="s">
        <v>875</v>
      </c>
      <c r="D1167" s="168">
        <v>216068.33</v>
      </c>
      <c r="E1167" s="201">
        <v>44685</v>
      </c>
    </row>
    <row r="1168" spans="1:5" ht="12.75">
      <c r="A1168" s="1">
        <v>43</v>
      </c>
      <c r="B1168" s="1" t="s">
        <v>509</v>
      </c>
      <c r="C1168" s="1" t="s">
        <v>1295</v>
      </c>
      <c r="D1168" s="168">
        <v>18796</v>
      </c>
      <c r="E1168" s="201">
        <v>44834</v>
      </c>
    </row>
    <row r="1169" spans="1:5" ht="12.75">
      <c r="A1169" s="1">
        <v>44</v>
      </c>
      <c r="B1169" s="1" t="s">
        <v>512</v>
      </c>
      <c r="C1169" s="1" t="s">
        <v>1294</v>
      </c>
      <c r="D1169" s="168">
        <v>209156.69</v>
      </c>
      <c r="E1169" s="201">
        <v>44623</v>
      </c>
    </row>
    <row r="1170" spans="1:5" ht="12.75">
      <c r="A1170" s="1">
        <v>45</v>
      </c>
      <c r="B1170" s="1" t="s">
        <v>727</v>
      </c>
      <c r="C1170" s="1" t="s">
        <v>1295</v>
      </c>
      <c r="D1170" s="168">
        <v>7601</v>
      </c>
      <c r="E1170" s="201">
        <v>44798</v>
      </c>
    </row>
    <row r="1171" spans="1:5" ht="12.75">
      <c r="A1171" s="1">
        <v>46</v>
      </c>
      <c r="B1171" s="1" t="s">
        <v>514</v>
      </c>
      <c r="C1171" s="1" t="s">
        <v>1295</v>
      </c>
      <c r="D1171" s="168">
        <v>3276</v>
      </c>
      <c r="E1171" s="201">
        <v>44821</v>
      </c>
    </row>
    <row r="1172" spans="1:5" ht="12.75">
      <c r="A1172" s="1">
        <v>47</v>
      </c>
      <c r="B1172" s="1" t="s">
        <v>731</v>
      </c>
      <c r="C1172" s="1" t="s">
        <v>1313</v>
      </c>
      <c r="D1172" s="168">
        <v>286060.73</v>
      </c>
      <c r="E1172" s="201">
        <v>44697</v>
      </c>
    </row>
    <row r="1173" spans="1:5" ht="12.75">
      <c r="A1173" s="1">
        <v>48</v>
      </c>
      <c r="B1173" s="1" t="s">
        <v>731</v>
      </c>
      <c r="C1173" s="1" t="s">
        <v>1295</v>
      </c>
      <c r="D1173" s="168">
        <v>22387</v>
      </c>
      <c r="E1173" s="201">
        <v>44812</v>
      </c>
    </row>
    <row r="1174" spans="1:5" ht="12.75">
      <c r="A1174" s="1">
        <v>49</v>
      </c>
      <c r="B1174" s="1" t="s">
        <v>975</v>
      </c>
      <c r="C1174" s="1" t="s">
        <v>1116</v>
      </c>
      <c r="D1174" s="168">
        <f>287621.75+13429.13</f>
        <v>301050.88</v>
      </c>
      <c r="E1174" s="201">
        <v>44655</v>
      </c>
    </row>
    <row r="1175" spans="1:5" ht="12.75">
      <c r="A1175" s="1">
        <v>50</v>
      </c>
      <c r="B1175" s="1" t="s">
        <v>975</v>
      </c>
      <c r="C1175" s="1" t="s">
        <v>1295</v>
      </c>
      <c r="D1175" s="168">
        <v>12121</v>
      </c>
      <c r="E1175" s="201">
        <v>44804</v>
      </c>
    </row>
    <row r="1176" spans="1:5" ht="12.75">
      <c r="A1176" s="1">
        <v>51</v>
      </c>
      <c r="B1176" s="1" t="s">
        <v>595</v>
      </c>
      <c r="C1176" s="1" t="s">
        <v>510</v>
      </c>
      <c r="D1176" s="168">
        <v>43971.47</v>
      </c>
      <c r="E1176" s="201">
        <v>44599</v>
      </c>
    </row>
    <row r="1177" spans="1:5" ht="12.75">
      <c r="A1177" s="1">
        <v>52</v>
      </c>
      <c r="B1177" s="1" t="s">
        <v>595</v>
      </c>
      <c r="C1177" s="1" t="s">
        <v>1295</v>
      </c>
      <c r="D1177" s="168">
        <v>13060</v>
      </c>
      <c r="E1177" s="201">
        <v>44839</v>
      </c>
    </row>
    <row r="1178" spans="1:5" ht="12.75">
      <c r="A1178" s="1">
        <v>53</v>
      </c>
      <c r="B1178" s="1" t="s">
        <v>1314</v>
      </c>
      <c r="C1178" s="1" t="s">
        <v>1116</v>
      </c>
      <c r="D1178" s="168">
        <v>128015.15</v>
      </c>
      <c r="E1178" s="201">
        <v>44816</v>
      </c>
    </row>
    <row r="1179" spans="1:5" ht="12.75">
      <c r="A1179" s="1">
        <v>54</v>
      </c>
      <c r="B1179" s="1" t="s">
        <v>1315</v>
      </c>
      <c r="C1179" s="1" t="s">
        <v>1295</v>
      </c>
      <c r="D1179" s="168">
        <v>10844</v>
      </c>
      <c r="E1179" s="201">
        <v>44792</v>
      </c>
    </row>
    <row r="1180" spans="1:5" ht="12.75">
      <c r="A1180" s="1">
        <v>55</v>
      </c>
      <c r="B1180" s="1" t="s">
        <v>1316</v>
      </c>
      <c r="C1180" s="1" t="s">
        <v>1116</v>
      </c>
      <c r="D1180" s="168">
        <v>213603.77</v>
      </c>
      <c r="E1180" s="201">
        <v>44821</v>
      </c>
    </row>
    <row r="1181" spans="1:5" ht="12.75">
      <c r="A1181" s="1">
        <v>56</v>
      </c>
      <c r="B1181" s="1" t="s">
        <v>732</v>
      </c>
      <c r="C1181" s="1" t="s">
        <v>1295</v>
      </c>
      <c r="D1181" s="168">
        <v>15215</v>
      </c>
      <c r="E1181" s="201">
        <v>44908</v>
      </c>
    </row>
    <row r="1182" spans="1:5" ht="12.75">
      <c r="A1182" s="1">
        <v>57</v>
      </c>
      <c r="B1182" s="1" t="s">
        <v>518</v>
      </c>
      <c r="C1182" s="1" t="s">
        <v>510</v>
      </c>
      <c r="D1182" s="168">
        <v>84245.51</v>
      </c>
      <c r="E1182" s="201">
        <v>44713</v>
      </c>
    </row>
    <row r="1183" spans="1:5" ht="12.75">
      <c r="A1183" s="1">
        <v>58</v>
      </c>
      <c r="B1183" s="1" t="s">
        <v>518</v>
      </c>
      <c r="C1183" s="1" t="s">
        <v>970</v>
      </c>
      <c r="D1183" s="168">
        <v>141617.4</v>
      </c>
      <c r="E1183" s="201">
        <v>44795</v>
      </c>
    </row>
    <row r="1184" spans="1:5" ht="12.75">
      <c r="A1184" s="1">
        <v>59</v>
      </c>
      <c r="B1184" s="1" t="s">
        <v>1317</v>
      </c>
      <c r="C1184" s="1" t="s">
        <v>1295</v>
      </c>
      <c r="D1184" s="168">
        <v>10440</v>
      </c>
      <c r="E1184" s="201">
        <v>44805</v>
      </c>
    </row>
    <row r="1185" spans="1:5" ht="12.75">
      <c r="A1185" s="1">
        <v>60</v>
      </c>
      <c r="B1185" s="1" t="s">
        <v>733</v>
      </c>
      <c r="C1185" s="1" t="s">
        <v>1318</v>
      </c>
      <c r="D1185" s="168">
        <v>1782.91</v>
      </c>
      <c r="E1185" s="201">
        <v>44650</v>
      </c>
    </row>
    <row r="1186" spans="1:5" ht="12.75">
      <c r="A1186" s="1">
        <v>61</v>
      </c>
      <c r="B1186" s="1" t="s">
        <v>908</v>
      </c>
      <c r="C1186" s="1" t="s">
        <v>1318</v>
      </c>
      <c r="D1186" s="168">
        <v>1782.91</v>
      </c>
      <c r="E1186" s="201">
        <v>44650</v>
      </c>
    </row>
    <row r="1187" spans="1:5" ht="12.75">
      <c r="A1187" s="1">
        <v>62</v>
      </c>
      <c r="B1187" s="1" t="s">
        <v>519</v>
      </c>
      <c r="C1187" s="1" t="s">
        <v>1319</v>
      </c>
      <c r="D1187" s="168">
        <v>135061.75</v>
      </c>
      <c r="E1187" s="201">
        <v>44631</v>
      </c>
    </row>
    <row r="1188" spans="1:5" ht="12.75">
      <c r="A1188" s="1">
        <v>63</v>
      </c>
      <c r="B1188" s="1" t="s">
        <v>519</v>
      </c>
      <c r="C1188" s="1" t="s">
        <v>1280</v>
      </c>
      <c r="D1188" s="168">
        <v>1015</v>
      </c>
      <c r="E1188" s="201">
        <v>44735</v>
      </c>
    </row>
    <row r="1189" spans="1:5" ht="12.75">
      <c r="A1189" s="1">
        <v>64</v>
      </c>
      <c r="B1189" s="1" t="s">
        <v>519</v>
      </c>
      <c r="C1189" s="1" t="s">
        <v>1292</v>
      </c>
      <c r="D1189" s="168">
        <v>18104</v>
      </c>
      <c r="E1189" s="201">
        <v>44826</v>
      </c>
    </row>
    <row r="1190" spans="1:5" ht="12.75">
      <c r="A1190" s="1">
        <v>65</v>
      </c>
      <c r="B1190" s="1" t="s">
        <v>913</v>
      </c>
      <c r="C1190" s="1" t="s">
        <v>1318</v>
      </c>
      <c r="D1190" s="168">
        <v>1782.91</v>
      </c>
      <c r="E1190" s="201">
        <v>44650</v>
      </c>
    </row>
    <row r="1191" spans="1:5" ht="12.75">
      <c r="A1191" s="1">
        <v>66</v>
      </c>
      <c r="B1191" s="1" t="s">
        <v>913</v>
      </c>
      <c r="C1191" s="1" t="s">
        <v>1295</v>
      </c>
      <c r="D1191" s="168">
        <v>3276</v>
      </c>
      <c r="E1191" s="201">
        <v>44902</v>
      </c>
    </row>
    <row r="1192" spans="1:5" ht="12.75">
      <c r="A1192" s="1">
        <v>67</v>
      </c>
      <c r="B1192" s="1" t="s">
        <v>914</v>
      </c>
      <c r="C1192" s="1" t="s">
        <v>1318</v>
      </c>
      <c r="D1192" s="168">
        <v>1782.91</v>
      </c>
      <c r="E1192" s="201">
        <v>44650</v>
      </c>
    </row>
    <row r="1193" spans="1:5" ht="12.75">
      <c r="A1193" s="1">
        <v>68</v>
      </c>
      <c r="B1193" s="1" t="s">
        <v>917</v>
      </c>
      <c r="C1193" s="1" t="s">
        <v>1318</v>
      </c>
      <c r="D1193" s="168">
        <v>1782.91</v>
      </c>
      <c r="E1193" s="201">
        <v>44650</v>
      </c>
    </row>
    <row r="1194" spans="1:5" ht="12.75">
      <c r="A1194" s="1">
        <v>69</v>
      </c>
      <c r="B1194" s="1" t="s">
        <v>1320</v>
      </c>
      <c r="C1194" s="1" t="s">
        <v>1295</v>
      </c>
      <c r="D1194" s="168">
        <v>4470</v>
      </c>
      <c r="E1194" s="201">
        <v>44908</v>
      </c>
    </row>
    <row r="1195" spans="1:5" ht="12.75">
      <c r="A1195" s="1">
        <v>70</v>
      </c>
      <c r="B1195" s="1" t="s">
        <v>613</v>
      </c>
      <c r="C1195" s="1" t="s">
        <v>1321</v>
      </c>
      <c r="D1195" s="168">
        <v>3353.36</v>
      </c>
      <c r="E1195" s="201">
        <v>44867</v>
      </c>
    </row>
    <row r="1196" spans="1:5" ht="12.75">
      <c r="A1196" s="1">
        <v>71</v>
      </c>
      <c r="B1196" s="1" t="s">
        <v>918</v>
      </c>
      <c r="C1196" s="1" t="s">
        <v>1318</v>
      </c>
      <c r="D1196" s="168">
        <v>1782.91</v>
      </c>
      <c r="E1196" s="201">
        <v>44650</v>
      </c>
    </row>
    <row r="1197" spans="1:5" ht="12.75">
      <c r="A1197" s="1">
        <v>72</v>
      </c>
      <c r="B1197" s="1" t="s">
        <v>919</v>
      </c>
      <c r="C1197" s="1" t="s">
        <v>1295</v>
      </c>
      <c r="D1197" s="168">
        <v>4470</v>
      </c>
      <c r="E1197" s="201">
        <v>44874</v>
      </c>
    </row>
    <row r="1198" spans="1:5" ht="12.75">
      <c r="A1198" s="1">
        <v>73</v>
      </c>
      <c r="B1198" s="1" t="s">
        <v>920</v>
      </c>
      <c r="C1198" s="1" t="s">
        <v>1318</v>
      </c>
      <c r="D1198" s="168">
        <v>1782.91</v>
      </c>
      <c r="E1198" s="201">
        <v>44650</v>
      </c>
    </row>
    <row r="1199" spans="1:5" ht="12.75">
      <c r="A1199" s="1">
        <v>74</v>
      </c>
      <c r="B1199" s="1" t="s">
        <v>922</v>
      </c>
      <c r="C1199" s="1" t="s">
        <v>1322</v>
      </c>
      <c r="D1199" s="168">
        <v>15421.96</v>
      </c>
      <c r="E1199" s="201">
        <v>44729</v>
      </c>
    </row>
    <row r="1200" spans="1:5" ht="12.75">
      <c r="A1200" s="1">
        <v>75</v>
      </c>
      <c r="B1200" s="1" t="s">
        <v>615</v>
      </c>
      <c r="C1200" s="1" t="s">
        <v>1295</v>
      </c>
      <c r="D1200" s="168">
        <v>5213</v>
      </c>
      <c r="E1200" s="201">
        <v>44798</v>
      </c>
    </row>
    <row r="1201" spans="1:5" ht="12.75">
      <c r="A1201" s="1">
        <v>76</v>
      </c>
      <c r="B1201" s="1" t="s">
        <v>827</v>
      </c>
      <c r="C1201" s="1" t="s">
        <v>1322</v>
      </c>
      <c r="D1201" s="168">
        <v>15421.96</v>
      </c>
      <c r="E1201" s="201">
        <v>44827</v>
      </c>
    </row>
    <row r="1202" spans="1:5" ht="12.75">
      <c r="A1202" s="1">
        <v>77</v>
      </c>
      <c r="B1202" s="1" t="s">
        <v>1323</v>
      </c>
      <c r="C1202" s="1" t="s">
        <v>970</v>
      </c>
      <c r="D1202" s="168">
        <v>40500</v>
      </c>
      <c r="E1202" s="201">
        <v>44908</v>
      </c>
    </row>
    <row r="1203" spans="1:5" ht="12.75">
      <c r="A1203" s="1">
        <v>78</v>
      </c>
      <c r="B1203" s="1" t="s">
        <v>525</v>
      </c>
      <c r="C1203" s="1" t="s">
        <v>1292</v>
      </c>
      <c r="D1203" s="168">
        <v>16773</v>
      </c>
      <c r="E1203" s="201">
        <v>44629</v>
      </c>
    </row>
    <row r="1204" spans="1:5" ht="12.75">
      <c r="A1204" s="1">
        <v>79</v>
      </c>
      <c r="B1204" s="1" t="s">
        <v>525</v>
      </c>
      <c r="C1204" s="1" t="s">
        <v>875</v>
      </c>
      <c r="D1204" s="168">
        <v>218276.03</v>
      </c>
      <c r="E1204" s="201">
        <v>44795</v>
      </c>
    </row>
    <row r="1205" spans="1:5" ht="12.75">
      <c r="A1205" s="1">
        <v>80</v>
      </c>
      <c r="B1205" s="1" t="s">
        <v>1324</v>
      </c>
      <c r="C1205" s="1" t="s">
        <v>1116</v>
      </c>
      <c r="D1205" s="168">
        <v>277333.43</v>
      </c>
      <c r="E1205" s="201">
        <v>44811</v>
      </c>
    </row>
    <row r="1206" spans="1:5" ht="12.75">
      <c r="A1206" s="1">
        <v>81</v>
      </c>
      <c r="B1206" s="1" t="s">
        <v>923</v>
      </c>
      <c r="C1206" s="1" t="s">
        <v>1322</v>
      </c>
      <c r="D1206" s="168">
        <v>15421.96</v>
      </c>
      <c r="E1206" s="201">
        <v>44721</v>
      </c>
    </row>
    <row r="1207" spans="1:5" ht="12.75">
      <c r="A1207" s="1">
        <v>82</v>
      </c>
      <c r="B1207" s="1" t="s">
        <v>526</v>
      </c>
      <c r="C1207" s="1" t="s">
        <v>1295</v>
      </c>
      <c r="D1207" s="168">
        <v>3276</v>
      </c>
      <c r="E1207" s="201">
        <v>44821</v>
      </c>
    </row>
    <row r="1208" spans="1:5" ht="12.75">
      <c r="A1208" s="1">
        <v>83</v>
      </c>
      <c r="B1208" s="1" t="s">
        <v>740</v>
      </c>
      <c r="C1208" s="1" t="s">
        <v>1292</v>
      </c>
      <c r="D1208" s="168">
        <v>5445</v>
      </c>
      <c r="E1208" s="201">
        <v>44826</v>
      </c>
    </row>
    <row r="1209" spans="1:5" ht="12.75">
      <c r="A1209" s="1">
        <v>84</v>
      </c>
      <c r="B1209" s="1" t="s">
        <v>1325</v>
      </c>
      <c r="C1209" s="1" t="s">
        <v>1326</v>
      </c>
      <c r="D1209" s="168">
        <f>37243.76+68935.18</f>
        <v>106178.94</v>
      </c>
      <c r="E1209" s="201">
        <v>44769</v>
      </c>
    </row>
    <row r="1210" spans="1:5" ht="12.75">
      <c r="A1210" s="1">
        <v>85</v>
      </c>
      <c r="B1210" s="1" t="s">
        <v>1136</v>
      </c>
      <c r="C1210" s="1" t="s">
        <v>1294</v>
      </c>
      <c r="D1210" s="168">
        <v>200000</v>
      </c>
      <c r="E1210" s="201">
        <v>44655</v>
      </c>
    </row>
    <row r="1211" spans="1:5" ht="12.75">
      <c r="A1211" s="1">
        <v>86</v>
      </c>
      <c r="B1211" s="1" t="s">
        <v>991</v>
      </c>
      <c r="C1211" s="1" t="s">
        <v>1295</v>
      </c>
      <c r="D1211" s="168">
        <v>2910</v>
      </c>
      <c r="E1211" s="201">
        <v>44827</v>
      </c>
    </row>
    <row r="1212" spans="1:5" ht="12.75">
      <c r="A1212" s="1">
        <v>87</v>
      </c>
      <c r="B1212" s="1" t="s">
        <v>1139</v>
      </c>
      <c r="C1212" s="1" t="s">
        <v>1295</v>
      </c>
      <c r="D1212" s="168">
        <v>3830</v>
      </c>
      <c r="E1212" s="201">
        <v>44876</v>
      </c>
    </row>
    <row r="1213" spans="1:5" ht="12.75">
      <c r="A1213" s="1">
        <v>88</v>
      </c>
      <c r="B1213" s="1" t="s">
        <v>529</v>
      </c>
      <c r="C1213" s="1" t="s">
        <v>970</v>
      </c>
      <c r="D1213" s="168">
        <f>98707.59+45308.29</f>
        <v>144015.88</v>
      </c>
      <c r="E1213" s="201">
        <v>44602</v>
      </c>
    </row>
    <row r="1214" spans="1:5" ht="12.75">
      <c r="A1214" s="1">
        <v>89</v>
      </c>
      <c r="B1214" s="1" t="s">
        <v>1327</v>
      </c>
      <c r="C1214" s="1" t="s">
        <v>1116</v>
      </c>
      <c r="D1214" s="168">
        <v>154841.94</v>
      </c>
      <c r="E1214" s="201">
        <v>44795</v>
      </c>
    </row>
    <row r="1215" spans="1:5" ht="12.75">
      <c r="A1215" s="1">
        <v>90</v>
      </c>
      <c r="B1215" s="1" t="s">
        <v>836</v>
      </c>
      <c r="C1215" s="1" t="s">
        <v>875</v>
      </c>
      <c r="D1215" s="168">
        <f>51002.47+31196.7+302828.39</f>
        <v>385027.56</v>
      </c>
      <c r="E1215" s="201">
        <v>44739</v>
      </c>
    </row>
    <row r="1216" spans="1:5" ht="12.75">
      <c r="A1216" s="1">
        <v>91</v>
      </c>
      <c r="B1216" s="1" t="s">
        <v>836</v>
      </c>
      <c r="C1216" s="1" t="s">
        <v>573</v>
      </c>
      <c r="D1216" s="216">
        <v>69889.07</v>
      </c>
      <c r="E1216" s="217" t="s">
        <v>1301</v>
      </c>
    </row>
    <row r="1217" spans="1:5" ht="12.75">
      <c r="A1217" s="1">
        <v>92</v>
      </c>
      <c r="B1217" s="1" t="s">
        <v>836</v>
      </c>
      <c r="C1217" s="1" t="s">
        <v>1292</v>
      </c>
      <c r="D1217" s="168">
        <v>10488</v>
      </c>
      <c r="E1217" s="201">
        <v>44826</v>
      </c>
    </row>
    <row r="1218" spans="1:5" ht="12.75">
      <c r="A1218" s="1">
        <v>93</v>
      </c>
      <c r="B1218" s="1" t="s">
        <v>1328</v>
      </c>
      <c r="C1218" s="1" t="s">
        <v>1116</v>
      </c>
      <c r="D1218" s="168">
        <v>126602.35</v>
      </c>
      <c r="E1218" s="201">
        <v>44811</v>
      </c>
    </row>
    <row r="1219" spans="1:5" ht="12.75">
      <c r="A1219" s="1">
        <v>94</v>
      </c>
      <c r="B1219" s="1" t="s">
        <v>1329</v>
      </c>
      <c r="C1219" s="1" t="s">
        <v>965</v>
      </c>
      <c r="D1219" s="168">
        <v>100300</v>
      </c>
      <c r="E1219" s="201">
        <v>44713</v>
      </c>
    </row>
    <row r="1220" spans="1:5" ht="12.75">
      <c r="A1220" s="1">
        <v>95</v>
      </c>
      <c r="B1220" s="1" t="s">
        <v>1330</v>
      </c>
      <c r="C1220" s="1" t="s">
        <v>1116</v>
      </c>
      <c r="D1220" s="168">
        <f>79032.93+171174.76</f>
        <v>250207.69</v>
      </c>
      <c r="E1220" s="201">
        <v>44602</v>
      </c>
    </row>
    <row r="1221" spans="1:5" ht="12.75">
      <c r="A1221" s="1">
        <v>96</v>
      </c>
      <c r="B1221" s="1" t="s">
        <v>1331</v>
      </c>
      <c r="C1221" s="1" t="s">
        <v>1116</v>
      </c>
      <c r="D1221" s="168">
        <v>132962.81</v>
      </c>
      <c r="E1221" s="201">
        <v>44841</v>
      </c>
    </row>
    <row r="1222" spans="1:5" ht="12.75">
      <c r="A1222" s="1">
        <v>97</v>
      </c>
      <c r="B1222" s="1" t="s">
        <v>530</v>
      </c>
      <c r="C1222" s="1" t="s">
        <v>1295</v>
      </c>
      <c r="D1222" s="168">
        <v>31033</v>
      </c>
      <c r="E1222" s="201">
        <v>44839</v>
      </c>
    </row>
    <row r="1223" spans="1:5" ht="12.75">
      <c r="A1223" s="1">
        <v>98</v>
      </c>
      <c r="B1223" s="1" t="s">
        <v>1332</v>
      </c>
      <c r="C1223" s="1" t="s">
        <v>1116</v>
      </c>
      <c r="D1223" s="168">
        <v>131737.25</v>
      </c>
      <c r="E1223" s="201">
        <v>44790</v>
      </c>
    </row>
    <row r="1224" spans="1:5" ht="12.75">
      <c r="A1224" s="1">
        <v>99</v>
      </c>
      <c r="B1224" s="1" t="s">
        <v>531</v>
      </c>
      <c r="C1224" s="1" t="s">
        <v>1295</v>
      </c>
      <c r="D1224" s="168">
        <v>28696</v>
      </c>
      <c r="E1224" s="201">
        <v>44792</v>
      </c>
    </row>
    <row r="1225" spans="1:5" ht="12.75">
      <c r="A1225" s="1">
        <v>100</v>
      </c>
      <c r="B1225" s="1" t="s">
        <v>1333</v>
      </c>
      <c r="C1225" s="1" t="s">
        <v>1116</v>
      </c>
      <c r="D1225" s="168">
        <v>125966.74</v>
      </c>
      <c r="E1225" s="201">
        <v>44802</v>
      </c>
    </row>
    <row r="1226" spans="1:5" ht="12.75">
      <c r="A1226" s="1">
        <v>101</v>
      </c>
      <c r="B1226" s="1" t="s">
        <v>624</v>
      </c>
      <c r="C1226" s="1" t="s">
        <v>1334</v>
      </c>
      <c r="D1226" s="168">
        <f>27757.42+180676.83</f>
        <v>208434.25</v>
      </c>
      <c r="E1226" s="201">
        <v>44713</v>
      </c>
    </row>
    <row r="1227" spans="1:5" ht="12.75">
      <c r="A1227" s="1">
        <v>102</v>
      </c>
      <c r="B1227" s="1" t="s">
        <v>1335</v>
      </c>
      <c r="C1227" s="1" t="s">
        <v>1116</v>
      </c>
      <c r="D1227" s="168">
        <v>130028.6</v>
      </c>
      <c r="E1227" s="201">
        <v>44685</v>
      </c>
    </row>
    <row r="1228" spans="1:5" ht="12.75">
      <c r="A1228" s="1">
        <v>103</v>
      </c>
      <c r="B1228" s="1" t="s">
        <v>1336</v>
      </c>
      <c r="C1228" s="1" t="s">
        <v>1116</v>
      </c>
      <c r="D1228" s="168">
        <v>250000</v>
      </c>
      <c r="E1228" s="201">
        <v>44593</v>
      </c>
    </row>
    <row r="1229" spans="1:5" ht="12.75">
      <c r="A1229" s="1">
        <v>104</v>
      </c>
      <c r="B1229" s="1" t="s">
        <v>532</v>
      </c>
      <c r="C1229" s="1" t="s">
        <v>1294</v>
      </c>
      <c r="D1229" s="168">
        <v>350000</v>
      </c>
      <c r="E1229" s="201">
        <v>44655</v>
      </c>
    </row>
    <row r="1230" spans="1:5" ht="12.75">
      <c r="A1230" s="1">
        <v>105</v>
      </c>
      <c r="B1230" s="1" t="s">
        <v>532</v>
      </c>
      <c r="C1230" s="1" t="s">
        <v>1280</v>
      </c>
      <c r="D1230" s="168">
        <v>1015</v>
      </c>
      <c r="E1230" s="201">
        <v>44735</v>
      </c>
    </row>
    <row r="1231" spans="1:5" ht="12.75">
      <c r="A1231" s="1">
        <v>106</v>
      </c>
      <c r="B1231" s="1" t="s">
        <v>532</v>
      </c>
      <c r="C1231" s="1" t="s">
        <v>573</v>
      </c>
      <c r="D1231" s="168">
        <v>67900.79</v>
      </c>
      <c r="E1231" s="201">
        <v>44914</v>
      </c>
    </row>
    <row r="1232" spans="1:5" ht="12.75">
      <c r="A1232" s="1">
        <v>107</v>
      </c>
      <c r="B1232" s="1" t="s">
        <v>846</v>
      </c>
      <c r="C1232" s="1" t="s">
        <v>875</v>
      </c>
      <c r="D1232" s="168">
        <v>399949.04</v>
      </c>
      <c r="E1232" s="201">
        <v>44704</v>
      </c>
    </row>
    <row r="1233" spans="1:5" ht="12.75">
      <c r="A1233" s="1">
        <v>108</v>
      </c>
      <c r="B1233" s="1" t="s">
        <v>846</v>
      </c>
      <c r="C1233" s="1" t="s">
        <v>1116</v>
      </c>
      <c r="D1233" s="168">
        <v>107647.88</v>
      </c>
      <c r="E1233" s="201">
        <v>44685</v>
      </c>
    </row>
    <row r="1234" spans="1:5" ht="12.75">
      <c r="A1234" s="1">
        <v>109</v>
      </c>
      <c r="B1234" s="1" t="s">
        <v>1337</v>
      </c>
      <c r="C1234" s="1" t="s">
        <v>510</v>
      </c>
      <c r="D1234" s="168">
        <v>21810.32</v>
      </c>
      <c r="E1234" s="201">
        <v>44662</v>
      </c>
    </row>
    <row r="1235" spans="1:5" ht="12.75">
      <c r="A1235" s="1">
        <v>110</v>
      </c>
      <c r="B1235" s="1" t="s">
        <v>1338</v>
      </c>
      <c r="C1235" s="1" t="s">
        <v>1295</v>
      </c>
      <c r="D1235" s="168">
        <v>17603</v>
      </c>
      <c r="E1235" s="201">
        <v>44858</v>
      </c>
    </row>
    <row r="1236" spans="1:5" ht="12.75">
      <c r="A1236" s="1">
        <v>111</v>
      </c>
      <c r="B1236" s="1" t="s">
        <v>1339</v>
      </c>
      <c r="C1236" s="1" t="s">
        <v>970</v>
      </c>
      <c r="D1236" s="168">
        <v>202903.56</v>
      </c>
      <c r="E1236" s="201">
        <v>44582</v>
      </c>
    </row>
    <row r="1237" spans="1:5" ht="12.75">
      <c r="A1237" s="1">
        <v>112</v>
      </c>
      <c r="B1237" s="1" t="s">
        <v>749</v>
      </c>
      <c r="C1237" s="1" t="s">
        <v>1295</v>
      </c>
      <c r="D1237" s="168">
        <v>21972</v>
      </c>
      <c r="E1237" s="201">
        <v>44802</v>
      </c>
    </row>
    <row r="1238" spans="1:5" ht="12.75">
      <c r="A1238" s="1">
        <v>113</v>
      </c>
      <c r="B1238" s="1" t="s">
        <v>533</v>
      </c>
      <c r="C1238" s="1" t="s">
        <v>1295</v>
      </c>
      <c r="D1238" s="168">
        <v>4470</v>
      </c>
      <c r="E1238" s="201">
        <v>44858</v>
      </c>
    </row>
    <row r="1239" spans="1:5" ht="12.75">
      <c r="A1239" s="1">
        <v>114</v>
      </c>
      <c r="B1239" s="1" t="s">
        <v>533</v>
      </c>
      <c r="C1239" s="1" t="s">
        <v>1295</v>
      </c>
      <c r="D1239" s="168">
        <v>18533</v>
      </c>
      <c r="E1239" s="201">
        <v>44876</v>
      </c>
    </row>
    <row r="1240" spans="1:5" ht="12.75">
      <c r="A1240" s="1">
        <v>115</v>
      </c>
      <c r="B1240" s="1" t="s">
        <v>632</v>
      </c>
      <c r="C1240" s="1" t="s">
        <v>1294</v>
      </c>
      <c r="D1240" s="168">
        <v>200000</v>
      </c>
      <c r="E1240" s="201">
        <v>44634</v>
      </c>
    </row>
    <row r="1241" spans="1:5" ht="12.75">
      <c r="A1241" s="1">
        <v>116</v>
      </c>
      <c r="B1241" s="1" t="s">
        <v>632</v>
      </c>
      <c r="C1241" s="1" t="s">
        <v>1295</v>
      </c>
      <c r="D1241" s="168">
        <v>17152</v>
      </c>
      <c r="E1241" s="201">
        <v>44795</v>
      </c>
    </row>
    <row r="1242" spans="1:5" ht="12.75">
      <c r="A1242" s="1">
        <v>117</v>
      </c>
      <c r="B1242" s="1" t="s">
        <v>1340</v>
      </c>
      <c r="C1242" s="1" t="s">
        <v>1295</v>
      </c>
      <c r="D1242" s="168">
        <v>6308</v>
      </c>
      <c r="E1242" s="201">
        <v>44636</v>
      </c>
    </row>
    <row r="1243" spans="1:5" ht="12.75">
      <c r="A1243" s="1">
        <v>118</v>
      </c>
      <c r="B1243" s="1" t="s">
        <v>1341</v>
      </c>
      <c r="C1243" s="1" t="s">
        <v>1342</v>
      </c>
      <c r="D1243" s="168">
        <f>12835.42+114880.77</f>
        <v>127716.19</v>
      </c>
      <c r="E1243" s="201">
        <v>44734</v>
      </c>
    </row>
    <row r="1244" spans="1:5" ht="12.75">
      <c r="A1244" s="1">
        <v>119</v>
      </c>
      <c r="B1244" s="1" t="s">
        <v>929</v>
      </c>
      <c r="C1244" s="1" t="s">
        <v>1295</v>
      </c>
      <c r="D1244" s="168">
        <v>3814</v>
      </c>
      <c r="E1244" s="201">
        <v>44810</v>
      </c>
    </row>
    <row r="1245" spans="1:5" ht="12.75">
      <c r="A1245" s="1">
        <v>120</v>
      </c>
      <c r="B1245" s="1" t="s">
        <v>929</v>
      </c>
      <c r="C1245" s="1" t="s">
        <v>1322</v>
      </c>
      <c r="D1245" s="168">
        <v>15421.96</v>
      </c>
      <c r="E1245" s="201">
        <v>44827</v>
      </c>
    </row>
    <row r="1246" spans="1:5" ht="12.75">
      <c r="A1246" s="1">
        <v>121</v>
      </c>
      <c r="B1246" s="1" t="s">
        <v>1168</v>
      </c>
      <c r="C1246" s="1" t="s">
        <v>1295</v>
      </c>
      <c r="D1246" s="168">
        <v>12964</v>
      </c>
      <c r="E1246" s="201">
        <v>44825</v>
      </c>
    </row>
    <row r="1247" spans="1:5" ht="12.75">
      <c r="A1247" s="1">
        <v>122</v>
      </c>
      <c r="B1247" s="1" t="s">
        <v>1005</v>
      </c>
      <c r="C1247" s="1" t="s">
        <v>1295</v>
      </c>
      <c r="D1247" s="168">
        <v>8052</v>
      </c>
      <c r="E1247" s="201">
        <v>44804</v>
      </c>
    </row>
    <row r="1248" spans="1:5" ht="12.75">
      <c r="A1248" s="1">
        <v>123</v>
      </c>
      <c r="B1248" s="1" t="s">
        <v>930</v>
      </c>
      <c r="C1248" s="1" t="s">
        <v>1322</v>
      </c>
      <c r="D1248" s="168">
        <v>12882.65</v>
      </c>
      <c r="E1248" s="201">
        <v>44599</v>
      </c>
    </row>
    <row r="1249" spans="1:5" ht="12.75">
      <c r="A1249" s="1">
        <v>124</v>
      </c>
      <c r="B1249" s="1" t="s">
        <v>930</v>
      </c>
      <c r="C1249" s="1" t="s">
        <v>1318</v>
      </c>
      <c r="D1249" s="168">
        <v>1782.91</v>
      </c>
      <c r="E1249" s="201">
        <v>44650</v>
      </c>
    </row>
    <row r="1250" spans="1:5" ht="12.75">
      <c r="A1250" s="1">
        <v>125</v>
      </c>
      <c r="B1250" s="1" t="s">
        <v>1172</v>
      </c>
      <c r="C1250" s="1" t="s">
        <v>1295</v>
      </c>
      <c r="D1250" s="168">
        <v>3276</v>
      </c>
      <c r="E1250" s="201">
        <v>44837</v>
      </c>
    </row>
    <row r="1251" spans="1:5" ht="12.75">
      <c r="A1251" s="1">
        <v>126</v>
      </c>
      <c r="B1251" s="1" t="s">
        <v>752</v>
      </c>
      <c r="C1251" s="1" t="s">
        <v>1295</v>
      </c>
      <c r="D1251" s="168">
        <v>11040</v>
      </c>
      <c r="E1251" s="201">
        <v>44821</v>
      </c>
    </row>
    <row r="1252" spans="1:5" ht="12.75">
      <c r="A1252" s="1">
        <v>127</v>
      </c>
      <c r="B1252" s="1" t="s">
        <v>752</v>
      </c>
      <c r="C1252" s="1" t="s">
        <v>1295</v>
      </c>
      <c r="D1252" s="168">
        <v>3276</v>
      </c>
      <c r="E1252" s="201">
        <v>44812</v>
      </c>
    </row>
    <row r="1253" spans="1:5" ht="12.75">
      <c r="A1253" s="1">
        <v>128</v>
      </c>
      <c r="B1253" s="1" t="s">
        <v>1343</v>
      </c>
      <c r="C1253" s="1" t="s">
        <v>1295</v>
      </c>
      <c r="D1253" s="168">
        <v>3255</v>
      </c>
      <c r="E1253" s="201">
        <v>44825</v>
      </c>
    </row>
    <row r="1254" spans="1:5" ht="12.75">
      <c r="A1254" s="1">
        <v>129</v>
      </c>
      <c r="B1254" s="1" t="s">
        <v>857</v>
      </c>
      <c r="C1254" s="1" t="s">
        <v>1295</v>
      </c>
      <c r="D1254" s="168">
        <v>8812</v>
      </c>
      <c r="E1254" s="201">
        <v>44629</v>
      </c>
    </row>
    <row r="1255" spans="1:5" ht="12.75">
      <c r="A1255" s="1">
        <v>130</v>
      </c>
      <c r="B1255" s="1" t="s">
        <v>1344</v>
      </c>
      <c r="C1255" s="1" t="s">
        <v>1295</v>
      </c>
      <c r="D1255" s="168">
        <v>3553</v>
      </c>
      <c r="E1255" s="201">
        <v>44902</v>
      </c>
    </row>
    <row r="1256" spans="1:5" ht="12.75">
      <c r="A1256" s="1">
        <v>131</v>
      </c>
      <c r="B1256" s="1" t="s">
        <v>753</v>
      </c>
      <c r="C1256" s="1" t="s">
        <v>1295</v>
      </c>
      <c r="D1256" s="168">
        <v>5473</v>
      </c>
      <c r="E1256" s="201">
        <v>44831</v>
      </c>
    </row>
    <row r="1257" spans="1:5" ht="12.75">
      <c r="A1257" s="1">
        <v>132</v>
      </c>
      <c r="B1257" s="1" t="s">
        <v>1345</v>
      </c>
      <c r="C1257" s="1" t="s">
        <v>1116</v>
      </c>
      <c r="D1257" s="216">
        <f>59012.29+200191.95</f>
        <v>259204.24000000002</v>
      </c>
      <c r="E1257" s="201">
        <v>44781</v>
      </c>
    </row>
    <row r="1258" spans="1:5" ht="12.75">
      <c r="A1258" s="1">
        <v>133</v>
      </c>
      <c r="B1258" s="1" t="s">
        <v>1346</v>
      </c>
      <c r="C1258" s="1" t="s">
        <v>1116</v>
      </c>
      <c r="D1258" s="168">
        <v>129602.95</v>
      </c>
      <c r="E1258" s="201">
        <v>44806</v>
      </c>
    </row>
    <row r="1259" spans="1:5" ht="12.75">
      <c r="A1259" s="1">
        <v>134</v>
      </c>
      <c r="B1259" s="1" t="s">
        <v>861</v>
      </c>
      <c r="C1259" s="1" t="s">
        <v>1318</v>
      </c>
      <c r="D1259" s="168">
        <v>1782.91</v>
      </c>
      <c r="E1259" s="201">
        <v>44650</v>
      </c>
    </row>
    <row r="1260" spans="1:5" ht="12.75">
      <c r="A1260" s="1">
        <v>135</v>
      </c>
      <c r="B1260" s="1" t="s">
        <v>934</v>
      </c>
      <c r="C1260" s="1" t="s">
        <v>1318</v>
      </c>
      <c r="D1260" s="168">
        <v>1782.91</v>
      </c>
      <c r="E1260" s="201">
        <v>44650</v>
      </c>
    </row>
    <row r="1261" spans="1:5" ht="12.75">
      <c r="A1261" s="1">
        <v>136</v>
      </c>
      <c r="B1261" s="1" t="s">
        <v>1347</v>
      </c>
      <c r="C1261" s="1" t="s">
        <v>1318</v>
      </c>
      <c r="D1261" s="168">
        <v>1782.91</v>
      </c>
      <c r="E1261" s="201">
        <v>44650</v>
      </c>
    </row>
    <row r="1262" spans="1:5" ht="12.75">
      <c r="A1262" s="1">
        <v>137</v>
      </c>
      <c r="B1262" s="1" t="s">
        <v>1013</v>
      </c>
      <c r="C1262" s="1" t="s">
        <v>1295</v>
      </c>
      <c r="D1262" s="168">
        <v>3276</v>
      </c>
      <c r="E1262" s="201">
        <v>44915</v>
      </c>
    </row>
    <row r="1263" spans="1:5" ht="12.75">
      <c r="A1263" s="1">
        <v>138</v>
      </c>
      <c r="B1263" s="1" t="s">
        <v>1348</v>
      </c>
      <c r="C1263" s="1" t="s">
        <v>1295</v>
      </c>
      <c r="D1263" s="168">
        <v>6816</v>
      </c>
      <c r="E1263" s="201">
        <v>44812</v>
      </c>
    </row>
    <row r="1264" spans="1:5" ht="12.75">
      <c r="A1264" s="1">
        <v>139</v>
      </c>
      <c r="B1264" s="1" t="s">
        <v>1349</v>
      </c>
      <c r="C1264" s="1" t="s">
        <v>1295</v>
      </c>
      <c r="D1264" s="168">
        <v>5564</v>
      </c>
      <c r="E1264" s="201">
        <v>44858</v>
      </c>
    </row>
    <row r="1265" spans="1:5" ht="12.75">
      <c r="A1265" s="1">
        <v>140</v>
      </c>
      <c r="B1265" s="1" t="s">
        <v>652</v>
      </c>
      <c r="C1265" s="1" t="s">
        <v>1295</v>
      </c>
      <c r="D1265" s="168">
        <v>4470</v>
      </c>
      <c r="E1265" s="201">
        <v>44805</v>
      </c>
    </row>
    <row r="1266" spans="1:5" ht="12.75">
      <c r="A1266" s="1">
        <v>141</v>
      </c>
      <c r="B1266" s="1" t="s">
        <v>1350</v>
      </c>
      <c r="C1266" s="1" t="s">
        <v>1295</v>
      </c>
      <c r="D1266" s="168">
        <v>5728</v>
      </c>
      <c r="E1266" s="201">
        <v>44790</v>
      </c>
    </row>
    <row r="1267" spans="1:5" ht="12.75">
      <c r="A1267" s="1">
        <v>142</v>
      </c>
      <c r="B1267" s="1" t="s">
        <v>654</v>
      </c>
      <c r="C1267" s="1" t="s">
        <v>1295</v>
      </c>
      <c r="D1267" s="168">
        <v>3276</v>
      </c>
      <c r="E1267" s="201">
        <v>44839</v>
      </c>
    </row>
    <row r="1268" spans="1:5" ht="12.75">
      <c r="A1268" s="1">
        <v>143</v>
      </c>
      <c r="B1268" s="1" t="s">
        <v>866</v>
      </c>
      <c r="C1268" s="1" t="s">
        <v>1295</v>
      </c>
      <c r="D1268" s="168">
        <v>3276</v>
      </c>
      <c r="E1268" s="201">
        <v>44839</v>
      </c>
    </row>
    <row r="1269" spans="1:5" ht="12.75">
      <c r="A1269" s="1">
        <v>144</v>
      </c>
      <c r="B1269" s="1" t="s">
        <v>756</v>
      </c>
      <c r="C1269" s="1" t="s">
        <v>1303</v>
      </c>
      <c r="D1269" s="168">
        <v>116499.58</v>
      </c>
      <c r="E1269" s="201">
        <v>44732</v>
      </c>
    </row>
    <row r="1270" spans="1:5" ht="12.75">
      <c r="A1270" s="1">
        <v>145</v>
      </c>
      <c r="B1270" s="1" t="s">
        <v>1351</v>
      </c>
      <c r="C1270" s="1" t="s">
        <v>1116</v>
      </c>
      <c r="D1270" s="168">
        <f>33662.17+207916.4</f>
        <v>241578.57</v>
      </c>
      <c r="E1270" s="201">
        <v>44866</v>
      </c>
    </row>
    <row r="1271" spans="1:5" ht="12.75">
      <c r="A1271" s="1">
        <v>146</v>
      </c>
      <c r="B1271" s="1" t="s">
        <v>656</v>
      </c>
      <c r="C1271" s="1" t="s">
        <v>1295</v>
      </c>
      <c r="D1271" s="168">
        <v>6407</v>
      </c>
      <c r="E1271" s="201">
        <v>44798</v>
      </c>
    </row>
    <row r="1272" spans="1:5" ht="12.75">
      <c r="A1272" s="1">
        <v>147</v>
      </c>
      <c r="B1272" s="1" t="s">
        <v>1352</v>
      </c>
      <c r="C1272" s="1" t="s">
        <v>1295</v>
      </c>
      <c r="D1272" s="168">
        <v>6261</v>
      </c>
      <c r="E1272" s="201">
        <v>44812</v>
      </c>
    </row>
    <row r="1273" spans="1:5" ht="12.75">
      <c r="A1273" s="1">
        <v>148</v>
      </c>
      <c r="B1273" s="1" t="s">
        <v>1353</v>
      </c>
      <c r="C1273" s="1" t="s">
        <v>1342</v>
      </c>
      <c r="D1273" s="168">
        <f>49822.41+66785.26</f>
        <v>116607.67</v>
      </c>
      <c r="E1273" s="201">
        <v>44718</v>
      </c>
    </row>
    <row r="1274" spans="1:5" ht="12.75">
      <c r="A1274" s="1">
        <v>149</v>
      </c>
      <c r="B1274" s="1" t="s">
        <v>1354</v>
      </c>
      <c r="C1274" s="1" t="s">
        <v>1295</v>
      </c>
      <c r="D1274" s="168">
        <v>13306</v>
      </c>
      <c r="E1274" s="201">
        <v>44902</v>
      </c>
    </row>
    <row r="1275" spans="1:5" ht="12.75">
      <c r="A1275" s="1">
        <v>150</v>
      </c>
      <c r="B1275" s="1" t="s">
        <v>1355</v>
      </c>
      <c r="C1275" s="1" t="s">
        <v>1116</v>
      </c>
      <c r="D1275" s="168">
        <v>119856</v>
      </c>
      <c r="E1275" s="201">
        <v>44804</v>
      </c>
    </row>
    <row r="1276" spans="1:5" ht="12.75">
      <c r="A1276" s="1">
        <v>151</v>
      </c>
      <c r="B1276" s="1" t="s">
        <v>1356</v>
      </c>
      <c r="C1276" s="1" t="s">
        <v>1116</v>
      </c>
      <c r="D1276" s="168">
        <v>132360.99</v>
      </c>
      <c r="E1276" s="201">
        <v>44704</v>
      </c>
    </row>
    <row r="1277" spans="1:5" ht="12.75">
      <c r="A1277" s="1">
        <v>152</v>
      </c>
      <c r="B1277" s="1" t="s">
        <v>1357</v>
      </c>
      <c r="C1277" s="1" t="s">
        <v>1116</v>
      </c>
      <c r="D1277" s="168">
        <v>131906.42</v>
      </c>
      <c r="E1277" s="201">
        <v>44795</v>
      </c>
    </row>
    <row r="1278" spans="1:5" ht="12.75">
      <c r="A1278" s="1">
        <v>153</v>
      </c>
      <c r="B1278" s="1" t="s">
        <v>758</v>
      </c>
      <c r="C1278" s="1" t="s">
        <v>1280</v>
      </c>
      <c r="D1278" s="168">
        <v>1015</v>
      </c>
      <c r="E1278" s="201">
        <v>44735</v>
      </c>
    </row>
    <row r="1279" spans="1:5" ht="12.75">
      <c r="A1279" s="1">
        <v>154</v>
      </c>
      <c r="B1279" s="1" t="s">
        <v>758</v>
      </c>
      <c r="C1279" s="1" t="s">
        <v>1280</v>
      </c>
      <c r="D1279" s="168">
        <v>3848.46</v>
      </c>
      <c r="E1279" s="201">
        <v>44867</v>
      </c>
    </row>
    <row r="1280" spans="1:5" ht="12.75">
      <c r="A1280" s="1">
        <v>155</v>
      </c>
      <c r="B1280" s="1" t="s">
        <v>1358</v>
      </c>
      <c r="C1280" s="1" t="s">
        <v>970</v>
      </c>
      <c r="D1280" s="168">
        <f>24334.22+117272.26</f>
        <v>141606.47999999998</v>
      </c>
      <c r="E1280" s="201">
        <v>44897</v>
      </c>
    </row>
    <row r="1281" spans="1:5" ht="12.75">
      <c r="A1281" s="1">
        <v>156</v>
      </c>
      <c r="B1281" s="1" t="s">
        <v>761</v>
      </c>
      <c r="C1281" s="1" t="s">
        <v>875</v>
      </c>
      <c r="D1281" s="168">
        <f>20479.9+173936.08</f>
        <v>194415.97999999998</v>
      </c>
      <c r="E1281" s="201">
        <v>44673</v>
      </c>
    </row>
    <row r="1282" spans="1:5" ht="12.75">
      <c r="A1282" s="1">
        <v>157</v>
      </c>
      <c r="B1282" s="1" t="s">
        <v>761</v>
      </c>
      <c r="C1282" s="1" t="s">
        <v>1295</v>
      </c>
      <c r="D1282" s="168">
        <f>5221+4498.26</f>
        <v>9719.26</v>
      </c>
      <c r="E1282" s="201">
        <v>44902</v>
      </c>
    </row>
    <row r="1283" spans="1:5" ht="12.75">
      <c r="A1283" s="1">
        <v>158</v>
      </c>
      <c r="B1283" s="1" t="s">
        <v>1359</v>
      </c>
      <c r="C1283" s="1" t="s">
        <v>1116</v>
      </c>
      <c r="D1283" s="168">
        <v>109872.29</v>
      </c>
      <c r="E1283" s="201">
        <v>44888</v>
      </c>
    </row>
    <row r="1284" spans="1:5" ht="12.75">
      <c r="A1284" s="1">
        <v>159</v>
      </c>
      <c r="B1284" s="1" t="s">
        <v>762</v>
      </c>
      <c r="C1284" s="1" t="s">
        <v>1295</v>
      </c>
      <c r="D1284" s="168">
        <v>6261</v>
      </c>
      <c r="E1284" s="201">
        <v>44804</v>
      </c>
    </row>
    <row r="1285" spans="1:5" ht="12.75">
      <c r="A1285" s="1">
        <v>160</v>
      </c>
      <c r="B1285" s="1" t="s">
        <v>764</v>
      </c>
      <c r="C1285" s="1" t="s">
        <v>1295</v>
      </c>
      <c r="D1285" s="168">
        <v>7389</v>
      </c>
      <c r="E1285" s="201">
        <v>44813</v>
      </c>
    </row>
    <row r="1286" spans="1:5" ht="12.75">
      <c r="A1286" s="1">
        <v>161</v>
      </c>
      <c r="B1286" s="1" t="s">
        <v>765</v>
      </c>
      <c r="C1286" s="1" t="s">
        <v>1295</v>
      </c>
      <c r="D1286" s="168">
        <v>8350</v>
      </c>
      <c r="E1286" s="201">
        <v>44804</v>
      </c>
    </row>
    <row r="1287" spans="1:5" ht="12.75">
      <c r="A1287" s="1">
        <v>162</v>
      </c>
      <c r="B1287" s="1" t="s">
        <v>766</v>
      </c>
      <c r="C1287" s="1" t="s">
        <v>1342</v>
      </c>
      <c r="D1287" s="168">
        <v>149733.05</v>
      </c>
      <c r="E1287" s="201">
        <v>44705</v>
      </c>
    </row>
    <row r="1288" spans="1:5" ht="12.75">
      <c r="A1288" s="1">
        <v>163</v>
      </c>
      <c r="B1288" s="1" t="s">
        <v>766</v>
      </c>
      <c r="C1288" s="1" t="s">
        <v>1295</v>
      </c>
      <c r="D1288" s="168">
        <v>8497</v>
      </c>
      <c r="E1288" s="201">
        <v>44798</v>
      </c>
    </row>
    <row r="1289" spans="1:5" ht="12.75">
      <c r="A1289" s="1">
        <v>164</v>
      </c>
      <c r="B1289" s="1" t="s">
        <v>539</v>
      </c>
      <c r="C1289" s="1" t="s">
        <v>875</v>
      </c>
      <c r="D1289" s="168">
        <f>11039.06+307429.62</f>
        <v>318468.68</v>
      </c>
      <c r="E1289" s="201">
        <v>44673</v>
      </c>
    </row>
    <row r="1290" spans="1:5" ht="12.75">
      <c r="A1290" s="1">
        <v>165</v>
      </c>
      <c r="B1290" s="1" t="s">
        <v>539</v>
      </c>
      <c r="C1290" s="1" t="s">
        <v>1295</v>
      </c>
      <c r="D1290" s="168">
        <v>9246</v>
      </c>
      <c r="E1290" s="201">
        <v>44846</v>
      </c>
    </row>
    <row r="1291" spans="1:5" ht="12.75">
      <c r="A1291" s="1">
        <v>166</v>
      </c>
      <c r="B1291" s="1" t="s">
        <v>769</v>
      </c>
      <c r="C1291" s="1" t="s">
        <v>1295</v>
      </c>
      <c r="D1291" s="168">
        <v>6261</v>
      </c>
      <c r="E1291" s="201">
        <v>44812</v>
      </c>
    </row>
    <row r="1292" spans="1:5" ht="12.75">
      <c r="A1292" s="1">
        <v>167</v>
      </c>
      <c r="B1292" s="1" t="s">
        <v>660</v>
      </c>
      <c r="C1292" s="1" t="s">
        <v>1295</v>
      </c>
      <c r="D1292" s="168">
        <v>12827</v>
      </c>
      <c r="E1292" s="201">
        <v>44858</v>
      </c>
    </row>
    <row r="1293" spans="1:5" ht="12.75">
      <c r="A1293" s="1">
        <v>168</v>
      </c>
      <c r="B1293" s="1" t="s">
        <v>870</v>
      </c>
      <c r="C1293" s="1" t="s">
        <v>1295</v>
      </c>
      <c r="D1293" s="168">
        <v>19393</v>
      </c>
      <c r="E1293" s="201">
        <v>44834</v>
      </c>
    </row>
    <row r="1294" spans="1:5" ht="12.75">
      <c r="A1294" s="1">
        <v>169</v>
      </c>
      <c r="B1294" s="1" t="s">
        <v>661</v>
      </c>
      <c r="C1294" s="1" t="s">
        <v>1295</v>
      </c>
      <c r="D1294" s="168">
        <v>8052</v>
      </c>
      <c r="E1294" s="201">
        <v>44821</v>
      </c>
    </row>
    <row r="1295" spans="1:5" ht="12.75">
      <c r="A1295" s="1">
        <v>170</v>
      </c>
      <c r="B1295" s="1" t="s">
        <v>871</v>
      </c>
      <c r="C1295" s="1" t="s">
        <v>510</v>
      </c>
      <c r="D1295" s="168">
        <v>64626.66</v>
      </c>
      <c r="E1295" s="201">
        <v>44713</v>
      </c>
    </row>
    <row r="1296" spans="1:5" ht="12.75">
      <c r="A1296" s="1">
        <v>171</v>
      </c>
      <c r="B1296" s="1" t="s">
        <v>871</v>
      </c>
      <c r="C1296" s="1" t="s">
        <v>1116</v>
      </c>
      <c r="D1296" s="168">
        <f>51266.2+192789.62</f>
        <v>244055.82</v>
      </c>
      <c r="E1296" s="201">
        <v>44713</v>
      </c>
    </row>
    <row r="1297" spans="1:5" ht="12.75">
      <c r="A1297" s="1">
        <v>172</v>
      </c>
      <c r="B1297" s="1" t="s">
        <v>871</v>
      </c>
      <c r="C1297" s="1" t="s">
        <v>1360</v>
      </c>
      <c r="D1297" s="168">
        <f>15192.08+322255.26</f>
        <v>337447.34</v>
      </c>
      <c r="E1297" s="201">
        <v>44776</v>
      </c>
    </row>
    <row r="1298" spans="1:5" ht="12.75">
      <c r="A1298" s="1">
        <v>173</v>
      </c>
      <c r="B1298" s="1" t="s">
        <v>871</v>
      </c>
      <c r="C1298" s="1" t="s">
        <v>573</v>
      </c>
      <c r="D1298" s="216">
        <v>66334.03</v>
      </c>
      <c r="E1298" s="217" t="s">
        <v>1301</v>
      </c>
    </row>
    <row r="1299" spans="1:5" ht="12.75">
      <c r="A1299" s="1">
        <v>174</v>
      </c>
      <c r="B1299" s="1" t="s">
        <v>871</v>
      </c>
      <c r="C1299" s="1" t="s">
        <v>1295</v>
      </c>
      <c r="D1299" s="168">
        <v>8052</v>
      </c>
      <c r="E1299" s="201">
        <v>44812</v>
      </c>
    </row>
    <row r="1300" spans="1:5" ht="12.75">
      <c r="A1300" s="1">
        <v>175</v>
      </c>
      <c r="B1300" s="1" t="s">
        <v>1361</v>
      </c>
      <c r="C1300" s="1" t="s">
        <v>1116</v>
      </c>
      <c r="D1300" s="168">
        <v>127005.03</v>
      </c>
      <c r="E1300" s="201">
        <v>44795</v>
      </c>
    </row>
    <row r="1301" spans="1:5" ht="12.75">
      <c r="A1301" s="1">
        <v>176</v>
      </c>
      <c r="B1301" s="1" t="s">
        <v>1362</v>
      </c>
      <c r="C1301" s="1" t="s">
        <v>1116</v>
      </c>
      <c r="D1301" s="168">
        <f>70062.12+178649.04</f>
        <v>248711.16</v>
      </c>
      <c r="E1301" s="201">
        <v>44841</v>
      </c>
    </row>
    <row r="1302" spans="1:5" ht="12.75">
      <c r="A1302" s="1">
        <v>177</v>
      </c>
      <c r="B1302" s="1" t="s">
        <v>1363</v>
      </c>
      <c r="C1302" s="1" t="s">
        <v>1295</v>
      </c>
      <c r="D1302" s="168">
        <v>34615</v>
      </c>
      <c r="E1302" s="201">
        <v>44834</v>
      </c>
    </row>
    <row r="1303" spans="1:5" ht="12.75">
      <c r="A1303" s="1">
        <v>178</v>
      </c>
      <c r="B1303" s="1" t="s">
        <v>1364</v>
      </c>
      <c r="C1303" s="1" t="s">
        <v>1116</v>
      </c>
      <c r="D1303" s="168">
        <v>124815.13</v>
      </c>
      <c r="E1303" s="201">
        <v>44886</v>
      </c>
    </row>
    <row r="1304" spans="1:5" ht="12.75">
      <c r="A1304" s="1">
        <v>179</v>
      </c>
      <c r="B1304" s="1" t="s">
        <v>1365</v>
      </c>
      <c r="C1304" s="1" t="s">
        <v>1116</v>
      </c>
      <c r="D1304" s="168">
        <v>104000</v>
      </c>
      <c r="E1304" s="201">
        <v>44826</v>
      </c>
    </row>
    <row r="1305" spans="1:5" ht="12.75">
      <c r="A1305" s="1">
        <v>180</v>
      </c>
      <c r="B1305" s="1" t="s">
        <v>1365</v>
      </c>
      <c r="C1305" s="1" t="s">
        <v>970</v>
      </c>
      <c r="D1305" s="168">
        <v>40500</v>
      </c>
      <c r="E1305" s="201">
        <v>44847</v>
      </c>
    </row>
    <row r="1306" spans="1:5" ht="12.75">
      <c r="A1306" s="1">
        <v>181</v>
      </c>
      <c r="B1306" s="1" t="s">
        <v>1366</v>
      </c>
      <c r="C1306" s="1" t="s">
        <v>1116</v>
      </c>
      <c r="D1306" s="168">
        <f>58004.63+131508.25+60091.14</f>
        <v>249604.02000000002</v>
      </c>
      <c r="E1306" s="201">
        <v>44781</v>
      </c>
    </row>
    <row r="1307" spans="1:5" ht="12.75">
      <c r="A1307" s="1">
        <v>182</v>
      </c>
      <c r="B1307" s="1" t="s">
        <v>666</v>
      </c>
      <c r="C1307" s="1" t="s">
        <v>1116</v>
      </c>
      <c r="D1307" s="168">
        <f>156770.22+25430.69</f>
        <v>182200.91</v>
      </c>
      <c r="E1307" s="201">
        <v>44774</v>
      </c>
    </row>
    <row r="1308" spans="1:5" ht="12.75">
      <c r="A1308" s="1">
        <v>183</v>
      </c>
      <c r="B1308" s="1" t="s">
        <v>666</v>
      </c>
      <c r="C1308" s="1" t="s">
        <v>1295</v>
      </c>
      <c r="D1308" s="168">
        <v>19692</v>
      </c>
      <c r="E1308" s="201">
        <v>44804</v>
      </c>
    </row>
    <row r="1309" spans="1:5" ht="12.75">
      <c r="A1309" s="1">
        <v>184</v>
      </c>
      <c r="B1309" s="1" t="s">
        <v>543</v>
      </c>
      <c r="C1309" s="1" t="s">
        <v>1295</v>
      </c>
      <c r="D1309" s="168">
        <v>16275</v>
      </c>
      <c r="E1309" s="201">
        <v>44827</v>
      </c>
    </row>
    <row r="1310" spans="1:5" ht="12.75">
      <c r="A1310" s="1">
        <v>185</v>
      </c>
      <c r="B1310" s="1" t="s">
        <v>667</v>
      </c>
      <c r="C1310" s="1" t="s">
        <v>1295</v>
      </c>
      <c r="D1310" s="168">
        <f>19829.14+70.86</f>
        <v>19900</v>
      </c>
      <c r="E1310" s="201">
        <v>44860</v>
      </c>
    </row>
    <row r="1311" spans="1:5" ht="12.75">
      <c r="A1311" s="1">
        <v>186</v>
      </c>
      <c r="B1311" s="1" t="s">
        <v>1367</v>
      </c>
      <c r="C1311" s="1" t="s">
        <v>970</v>
      </c>
      <c r="D1311" s="168">
        <v>132914.41</v>
      </c>
      <c r="E1311" s="201">
        <v>44909</v>
      </c>
    </row>
    <row r="1312" spans="1:5" ht="12.75">
      <c r="A1312" s="1">
        <v>187</v>
      </c>
      <c r="B1312" s="1" t="s">
        <v>668</v>
      </c>
      <c r="C1312" s="1" t="s">
        <v>1295</v>
      </c>
      <c r="D1312" s="168">
        <v>22975</v>
      </c>
      <c r="E1312" s="201">
        <v>44831</v>
      </c>
    </row>
    <row r="1313" spans="1:5" ht="12.75">
      <c r="A1313" s="1">
        <v>188</v>
      </c>
      <c r="B1313" s="1" t="s">
        <v>668</v>
      </c>
      <c r="C1313" s="1" t="s">
        <v>1292</v>
      </c>
      <c r="D1313" s="168">
        <v>9324</v>
      </c>
      <c r="E1313" s="201">
        <v>44826</v>
      </c>
    </row>
    <row r="1314" spans="1:5" ht="12.75">
      <c r="A1314" s="1">
        <v>189</v>
      </c>
      <c r="B1314" s="1" t="s">
        <v>1368</v>
      </c>
      <c r="C1314" s="1" t="s">
        <v>1116</v>
      </c>
      <c r="D1314" s="168">
        <v>106715.82</v>
      </c>
      <c r="E1314" s="201">
        <v>44816</v>
      </c>
    </row>
    <row r="1315" spans="1:5" ht="12.75">
      <c r="A1315" s="1">
        <v>190</v>
      </c>
      <c r="B1315" s="1" t="s">
        <v>774</v>
      </c>
      <c r="C1315" s="1" t="s">
        <v>970</v>
      </c>
      <c r="D1315" s="168">
        <v>245096.69</v>
      </c>
      <c r="E1315" s="201">
        <v>44602</v>
      </c>
    </row>
    <row r="1316" spans="1:5" ht="12.75">
      <c r="A1316" s="1">
        <v>191</v>
      </c>
      <c r="B1316" s="1" t="s">
        <v>774</v>
      </c>
      <c r="C1316" s="1" t="s">
        <v>875</v>
      </c>
      <c r="D1316" s="168">
        <f>19812.92+2088.38+177089.48</f>
        <v>198990.78</v>
      </c>
      <c r="E1316" s="201">
        <v>44685</v>
      </c>
    </row>
    <row r="1317" spans="1:5" ht="12.75">
      <c r="A1317" s="1">
        <v>192</v>
      </c>
      <c r="B1317" s="1" t="s">
        <v>774</v>
      </c>
      <c r="C1317" s="1" t="s">
        <v>1303</v>
      </c>
      <c r="D1317" s="168">
        <v>109149.21</v>
      </c>
      <c r="E1317" s="201">
        <v>44743</v>
      </c>
    </row>
    <row r="1318" spans="1:5" ht="12.75">
      <c r="A1318" s="1">
        <v>193</v>
      </c>
      <c r="B1318" s="1" t="s">
        <v>774</v>
      </c>
      <c r="C1318" s="1" t="s">
        <v>573</v>
      </c>
      <c r="D1318" s="216">
        <v>69889.07</v>
      </c>
      <c r="E1318" s="217" t="s">
        <v>1301</v>
      </c>
    </row>
    <row r="1319" spans="1:5" ht="12.75">
      <c r="A1319" s="1">
        <v>194</v>
      </c>
      <c r="B1319" s="1" t="s">
        <v>669</v>
      </c>
      <c r="C1319" s="1" t="s">
        <v>1303</v>
      </c>
      <c r="D1319" s="168">
        <v>219990.39</v>
      </c>
      <c r="E1319" s="201">
        <v>44811</v>
      </c>
    </row>
    <row r="1320" spans="1:5" ht="12.75">
      <c r="A1320" s="1">
        <v>195</v>
      </c>
      <c r="B1320" s="1" t="s">
        <v>1369</v>
      </c>
      <c r="C1320" s="1" t="s">
        <v>1295</v>
      </c>
      <c r="D1320" s="168">
        <v>19734</v>
      </c>
      <c r="E1320" s="201">
        <v>44795</v>
      </c>
    </row>
    <row r="1321" spans="1:5" ht="12.75">
      <c r="A1321" s="1">
        <v>196</v>
      </c>
      <c r="B1321" s="1" t="s">
        <v>1370</v>
      </c>
      <c r="C1321" s="1" t="s">
        <v>970</v>
      </c>
      <c r="D1321" s="168">
        <v>250308.92</v>
      </c>
      <c r="E1321" s="201">
        <v>44629</v>
      </c>
    </row>
    <row r="1322" spans="1:5" ht="12.75">
      <c r="A1322" s="1">
        <v>197</v>
      </c>
      <c r="B1322" s="1" t="s">
        <v>669</v>
      </c>
      <c r="C1322" s="1" t="s">
        <v>573</v>
      </c>
      <c r="D1322" s="168">
        <v>113091.13</v>
      </c>
      <c r="E1322" s="201">
        <v>44914</v>
      </c>
    </row>
    <row r="1323" spans="1:5" ht="12.75">
      <c r="A1323" s="1">
        <v>198</v>
      </c>
      <c r="B1323" s="1" t="s">
        <v>775</v>
      </c>
      <c r="C1323" s="1" t="s">
        <v>573</v>
      </c>
      <c r="D1323" s="216">
        <v>69889.07</v>
      </c>
      <c r="E1323" s="217" t="s">
        <v>1301</v>
      </c>
    </row>
    <row r="1324" spans="1:5" ht="12.75">
      <c r="A1324" s="1">
        <v>199</v>
      </c>
      <c r="B1324" s="1" t="s">
        <v>775</v>
      </c>
      <c r="C1324" s="1" t="s">
        <v>831</v>
      </c>
      <c r="D1324" s="168">
        <v>2012793.63</v>
      </c>
      <c r="E1324" s="201">
        <v>44797</v>
      </c>
    </row>
    <row r="1325" spans="1:5" ht="12.75">
      <c r="A1325" s="1">
        <v>200</v>
      </c>
      <c r="B1325" s="1" t="s">
        <v>1371</v>
      </c>
      <c r="C1325" s="1" t="s">
        <v>1292</v>
      </c>
      <c r="D1325" s="168">
        <v>11796</v>
      </c>
      <c r="E1325" s="201">
        <v>44826</v>
      </c>
    </row>
    <row r="1326" spans="1:5" ht="12.75">
      <c r="A1326" s="1">
        <v>201</v>
      </c>
      <c r="B1326" s="1" t="s">
        <v>1372</v>
      </c>
      <c r="C1326" s="1" t="s">
        <v>1116</v>
      </c>
      <c r="D1326" s="168">
        <v>259008.9</v>
      </c>
      <c r="E1326" s="201">
        <v>44624</v>
      </c>
    </row>
    <row r="1327" spans="1:5" ht="12.75">
      <c r="A1327" s="1">
        <v>202</v>
      </c>
      <c r="B1327" s="1" t="s">
        <v>1373</v>
      </c>
      <c r="C1327" s="1" t="s">
        <v>970</v>
      </c>
      <c r="D1327" s="168">
        <v>265800</v>
      </c>
      <c r="E1327" s="201">
        <v>44676</v>
      </c>
    </row>
    <row r="1328" spans="1:5" ht="12.75">
      <c r="A1328" s="1">
        <v>203</v>
      </c>
      <c r="B1328" s="1" t="s">
        <v>1374</v>
      </c>
      <c r="C1328" s="1" t="s">
        <v>573</v>
      </c>
      <c r="D1328" s="168">
        <f>14697.54+98393.59</f>
        <v>113091.13</v>
      </c>
      <c r="E1328" s="201">
        <v>44914</v>
      </c>
    </row>
    <row r="1329" spans="1:5" ht="12.75">
      <c r="A1329" s="1">
        <v>204</v>
      </c>
      <c r="B1329" s="1" t="s">
        <v>1375</v>
      </c>
      <c r="C1329" s="1" t="s">
        <v>1116</v>
      </c>
      <c r="D1329" s="168">
        <v>294106.6</v>
      </c>
      <c r="E1329" s="201">
        <v>44582</v>
      </c>
    </row>
    <row r="1330" spans="1:5" ht="12.75">
      <c r="A1330" s="1">
        <v>205</v>
      </c>
      <c r="B1330" s="1" t="s">
        <v>1376</v>
      </c>
      <c r="C1330" s="1" t="s">
        <v>1116</v>
      </c>
      <c r="D1330" s="168">
        <v>137147</v>
      </c>
      <c r="E1330" s="201">
        <v>44685</v>
      </c>
    </row>
    <row r="1331" spans="1:5" ht="12.75">
      <c r="A1331" s="1">
        <v>206</v>
      </c>
      <c r="B1331" s="1" t="s">
        <v>671</v>
      </c>
      <c r="C1331" s="1" t="s">
        <v>1295</v>
      </c>
      <c r="D1331" s="168">
        <v>23348</v>
      </c>
      <c r="E1331" s="201">
        <v>44827</v>
      </c>
    </row>
    <row r="1332" spans="1:5" ht="12.75">
      <c r="A1332" s="1">
        <v>207</v>
      </c>
      <c r="B1332" s="1" t="s">
        <v>877</v>
      </c>
      <c r="C1332" s="1" t="s">
        <v>1303</v>
      </c>
      <c r="D1332" s="168">
        <f>29379.95+63592.69+174610.18</f>
        <v>267582.82</v>
      </c>
      <c r="E1332" s="201">
        <v>44743</v>
      </c>
    </row>
    <row r="1333" spans="1:5" ht="12.75">
      <c r="A1333" s="1">
        <v>208</v>
      </c>
      <c r="B1333" s="1" t="s">
        <v>877</v>
      </c>
      <c r="C1333" s="1" t="s">
        <v>573</v>
      </c>
      <c r="D1333" s="168">
        <v>123064.77</v>
      </c>
      <c r="E1333" s="201">
        <v>44914</v>
      </c>
    </row>
    <row r="1334" spans="1:5" ht="12.75">
      <c r="A1334" s="1">
        <v>209</v>
      </c>
      <c r="B1334" s="1" t="s">
        <v>673</v>
      </c>
      <c r="C1334" s="1" t="s">
        <v>1295</v>
      </c>
      <c r="D1334" s="168">
        <v>14805</v>
      </c>
      <c r="E1334" s="201">
        <v>44798</v>
      </c>
    </row>
    <row r="1335" spans="1:5" ht="12.75">
      <c r="A1335" s="1">
        <v>210</v>
      </c>
      <c r="B1335" s="1" t="s">
        <v>1377</v>
      </c>
      <c r="C1335" s="1" t="s">
        <v>970</v>
      </c>
      <c r="D1335" s="168">
        <v>133839.41</v>
      </c>
      <c r="E1335" s="201">
        <v>44890</v>
      </c>
    </row>
    <row r="1336" spans="1:5" ht="12.75">
      <c r="A1336" s="1">
        <v>211</v>
      </c>
      <c r="B1336" s="1" t="s">
        <v>550</v>
      </c>
      <c r="C1336" s="1" t="s">
        <v>970</v>
      </c>
      <c r="D1336" s="168">
        <f>43557.57+151802.98</f>
        <v>195360.55000000002</v>
      </c>
      <c r="E1336" s="201">
        <v>44739</v>
      </c>
    </row>
    <row r="1337" spans="1:5" ht="12.75">
      <c r="A1337" s="1">
        <v>212</v>
      </c>
      <c r="B1337" s="1" t="s">
        <v>550</v>
      </c>
      <c r="C1337" s="1" t="s">
        <v>1295</v>
      </c>
      <c r="D1337" s="168">
        <v>21781</v>
      </c>
      <c r="E1337" s="201">
        <v>44804</v>
      </c>
    </row>
    <row r="1338" spans="1:5" ht="12.75">
      <c r="A1338" s="1">
        <v>213</v>
      </c>
      <c r="B1338" s="1" t="s">
        <v>550</v>
      </c>
      <c r="C1338" s="1" t="s">
        <v>831</v>
      </c>
      <c r="D1338" s="168">
        <v>237022.94</v>
      </c>
      <c r="E1338" s="201">
        <v>44811</v>
      </c>
    </row>
    <row r="1339" spans="1:5" ht="12.75">
      <c r="A1339" s="1">
        <v>214</v>
      </c>
      <c r="B1339" s="1" t="s">
        <v>1378</v>
      </c>
      <c r="C1339" s="1" t="s">
        <v>1295</v>
      </c>
      <c r="D1339" s="168">
        <v>18796</v>
      </c>
      <c r="E1339" s="201">
        <v>44846</v>
      </c>
    </row>
    <row r="1340" spans="1:5" ht="12.75">
      <c r="A1340" s="1">
        <v>215</v>
      </c>
      <c r="B1340" s="1" t="s">
        <v>1379</v>
      </c>
      <c r="C1340" s="1" t="s">
        <v>1116</v>
      </c>
      <c r="D1340" s="168">
        <v>320415.32</v>
      </c>
      <c r="E1340" s="201">
        <v>44795</v>
      </c>
    </row>
    <row r="1341" spans="1:5" ht="12.75">
      <c r="A1341" s="1">
        <v>216</v>
      </c>
      <c r="B1341" s="1" t="s">
        <v>551</v>
      </c>
      <c r="C1341" s="1" t="s">
        <v>1295</v>
      </c>
      <c r="D1341" s="168">
        <v>15865</v>
      </c>
      <c r="E1341" s="201">
        <v>44818</v>
      </c>
    </row>
    <row r="1342" spans="1:5" ht="12.75">
      <c r="A1342" s="1">
        <v>217</v>
      </c>
      <c r="B1342" s="1" t="s">
        <v>675</v>
      </c>
      <c r="C1342" s="1" t="s">
        <v>510</v>
      </c>
      <c r="D1342" s="168">
        <f>51803.31+25560.63</f>
        <v>77363.94</v>
      </c>
      <c r="E1342" s="201">
        <v>44599</v>
      </c>
    </row>
    <row r="1343" spans="1:5" ht="12.75">
      <c r="A1343" s="1">
        <v>218</v>
      </c>
      <c r="B1343" s="1" t="s">
        <v>3</v>
      </c>
      <c r="C1343" s="1" t="s">
        <v>1116</v>
      </c>
      <c r="D1343" s="168">
        <v>216384.61</v>
      </c>
      <c r="E1343" s="201">
        <v>44811</v>
      </c>
    </row>
    <row r="1344" spans="1:5" ht="12.75">
      <c r="A1344" s="1">
        <v>219</v>
      </c>
      <c r="B1344" s="1" t="s">
        <v>4</v>
      </c>
      <c r="C1344" s="1" t="s">
        <v>1116</v>
      </c>
      <c r="D1344" s="168">
        <v>310985</v>
      </c>
      <c r="E1344" s="201">
        <v>44837</v>
      </c>
    </row>
    <row r="1345" spans="1:5" ht="12.75">
      <c r="A1345" s="1">
        <v>220</v>
      </c>
      <c r="B1345" s="1" t="s">
        <v>5</v>
      </c>
      <c r="C1345" s="1" t="s">
        <v>6</v>
      </c>
      <c r="D1345" s="168">
        <f>27460.57+561245.25</f>
        <v>588705.82</v>
      </c>
      <c r="E1345" s="201">
        <v>44771</v>
      </c>
    </row>
    <row r="1346" spans="1:5" ht="12.75">
      <c r="A1346" s="1">
        <v>221</v>
      </c>
      <c r="B1346" s="1" t="s">
        <v>676</v>
      </c>
      <c r="C1346" s="1" t="s">
        <v>7</v>
      </c>
      <c r="D1346" s="168">
        <f>37890.04+86611.06</f>
        <v>124501.1</v>
      </c>
      <c r="E1346" s="201">
        <v>44719</v>
      </c>
    </row>
    <row r="1347" spans="1:5" ht="12.75">
      <c r="A1347" s="1">
        <v>222</v>
      </c>
      <c r="B1347" s="1" t="s">
        <v>676</v>
      </c>
      <c r="C1347" s="1" t="s">
        <v>573</v>
      </c>
      <c r="D1347" s="216">
        <v>66334.03</v>
      </c>
      <c r="E1347" s="217" t="s">
        <v>1301</v>
      </c>
    </row>
    <row r="1348" spans="1:5" ht="12.75">
      <c r="A1348" s="1">
        <v>223</v>
      </c>
      <c r="B1348" s="1" t="s">
        <v>676</v>
      </c>
      <c r="C1348" s="1" t="s">
        <v>970</v>
      </c>
      <c r="D1348" s="168">
        <v>194413.5</v>
      </c>
      <c r="E1348" s="201">
        <v>44795</v>
      </c>
    </row>
    <row r="1349" spans="1:5" ht="12.75">
      <c r="A1349" s="1">
        <v>224</v>
      </c>
      <c r="B1349" s="1" t="s">
        <v>881</v>
      </c>
      <c r="C1349" s="1" t="s">
        <v>1295</v>
      </c>
      <c r="D1349" s="168">
        <v>12984</v>
      </c>
      <c r="E1349" s="201">
        <v>44636</v>
      </c>
    </row>
    <row r="1350" spans="1:5" ht="12.75">
      <c r="A1350" s="1">
        <v>225</v>
      </c>
      <c r="B1350" s="1" t="s">
        <v>881</v>
      </c>
      <c r="C1350" s="1" t="s">
        <v>1292</v>
      </c>
      <c r="D1350" s="168">
        <v>9529</v>
      </c>
      <c r="E1350" s="201">
        <v>44629</v>
      </c>
    </row>
    <row r="1351" spans="1:5" ht="12.75">
      <c r="A1351" s="1">
        <v>226</v>
      </c>
      <c r="B1351" s="1" t="s">
        <v>881</v>
      </c>
      <c r="C1351" s="1" t="s">
        <v>573</v>
      </c>
      <c r="D1351" s="216">
        <v>66334.03</v>
      </c>
      <c r="E1351" s="217" t="s">
        <v>1301</v>
      </c>
    </row>
    <row r="1352" spans="1:5" ht="12.75">
      <c r="A1352" s="1">
        <v>227</v>
      </c>
      <c r="B1352" s="1" t="s">
        <v>784</v>
      </c>
      <c r="C1352" s="1" t="s">
        <v>1295</v>
      </c>
      <c r="D1352" s="168">
        <v>14296</v>
      </c>
      <c r="E1352" s="201">
        <v>44784</v>
      </c>
    </row>
    <row r="1353" spans="1:5" ht="12.75">
      <c r="A1353" s="1">
        <v>228</v>
      </c>
      <c r="B1353" s="1" t="s">
        <v>784</v>
      </c>
      <c r="C1353" s="1" t="s">
        <v>875</v>
      </c>
      <c r="D1353" s="168">
        <v>189022.14</v>
      </c>
      <c r="E1353" s="201">
        <v>44795</v>
      </c>
    </row>
    <row r="1354" spans="1:5" ht="12.75">
      <c r="A1354" s="1">
        <v>229</v>
      </c>
      <c r="B1354" s="1" t="s">
        <v>784</v>
      </c>
      <c r="C1354" s="1" t="s">
        <v>1292</v>
      </c>
      <c r="D1354" s="168">
        <v>9880</v>
      </c>
      <c r="E1354" s="201">
        <v>44826</v>
      </c>
    </row>
    <row r="1355" spans="1:5" ht="12.75">
      <c r="A1355" s="1">
        <v>230</v>
      </c>
      <c r="B1355" s="1" t="s">
        <v>8</v>
      </c>
      <c r="C1355" s="1" t="s">
        <v>875</v>
      </c>
      <c r="D1355" s="168">
        <v>303715.3</v>
      </c>
      <c r="E1355" s="201">
        <v>44687</v>
      </c>
    </row>
    <row r="1356" spans="1:5" ht="12.75">
      <c r="A1356" s="1">
        <v>231</v>
      </c>
      <c r="B1356" s="1" t="s">
        <v>9</v>
      </c>
      <c r="C1356" s="1" t="s">
        <v>1116</v>
      </c>
      <c r="D1356" s="168">
        <f>245301.68+37674.08</f>
        <v>282975.76</v>
      </c>
      <c r="E1356" s="201">
        <v>44585</v>
      </c>
    </row>
    <row r="1357" spans="1:5" ht="12.75">
      <c r="A1357" s="1">
        <v>232</v>
      </c>
      <c r="B1357" s="1" t="s">
        <v>553</v>
      </c>
      <c r="C1357" s="1" t="s">
        <v>875</v>
      </c>
      <c r="D1357" s="168">
        <v>158862.75</v>
      </c>
      <c r="E1357" s="201">
        <v>44701</v>
      </c>
    </row>
    <row r="1358" spans="1:5" ht="12.75">
      <c r="A1358" s="1">
        <v>233</v>
      </c>
      <c r="B1358" s="1" t="s">
        <v>553</v>
      </c>
      <c r="C1358" s="1" t="s">
        <v>1295</v>
      </c>
      <c r="D1358" s="168">
        <f>1920.38+10843.62</f>
        <v>12764</v>
      </c>
      <c r="E1358" s="201">
        <v>44708</v>
      </c>
    </row>
    <row r="1359" spans="1:5" ht="12.75">
      <c r="A1359" s="1">
        <v>234</v>
      </c>
      <c r="B1359" s="1" t="s">
        <v>553</v>
      </c>
      <c r="C1359" s="1" t="s">
        <v>1292</v>
      </c>
      <c r="D1359" s="168">
        <v>10057</v>
      </c>
      <c r="E1359" s="201">
        <v>44826</v>
      </c>
    </row>
    <row r="1360" spans="1:5" ht="12.75">
      <c r="A1360" s="1">
        <v>235</v>
      </c>
      <c r="B1360" s="1" t="s">
        <v>10</v>
      </c>
      <c r="C1360" s="1" t="s">
        <v>1116</v>
      </c>
      <c r="D1360" s="168">
        <v>200000</v>
      </c>
      <c r="E1360" s="201">
        <v>44767</v>
      </c>
    </row>
    <row r="1361" spans="1:5" ht="12.75">
      <c r="A1361" s="1">
        <v>236</v>
      </c>
      <c r="B1361" s="1" t="s">
        <v>11</v>
      </c>
      <c r="C1361" s="1" t="s">
        <v>12</v>
      </c>
      <c r="D1361" s="168">
        <v>25000</v>
      </c>
      <c r="E1361" s="201">
        <v>44888</v>
      </c>
    </row>
    <row r="1362" spans="1:5" ht="12.75">
      <c r="A1362" s="1">
        <v>237</v>
      </c>
      <c r="B1362" s="1" t="s">
        <v>882</v>
      </c>
      <c r="C1362" s="1" t="s">
        <v>573</v>
      </c>
      <c r="D1362" s="216">
        <v>66334.03</v>
      </c>
      <c r="E1362" s="217" t="s">
        <v>1301</v>
      </c>
    </row>
    <row r="1363" spans="1:5" ht="12.75">
      <c r="A1363" s="1">
        <v>238</v>
      </c>
      <c r="B1363" s="1" t="s">
        <v>681</v>
      </c>
      <c r="C1363" s="1" t="s">
        <v>13</v>
      </c>
      <c r="D1363" s="168">
        <v>35816.33</v>
      </c>
      <c r="E1363" s="201">
        <v>44621</v>
      </c>
    </row>
    <row r="1364" spans="1:5" ht="12.75">
      <c r="A1364" s="1">
        <v>239</v>
      </c>
      <c r="B1364" s="1" t="s">
        <v>554</v>
      </c>
      <c r="C1364" s="1" t="s">
        <v>1294</v>
      </c>
      <c r="D1364" s="168">
        <v>300000</v>
      </c>
      <c r="E1364" s="201">
        <v>44715</v>
      </c>
    </row>
    <row r="1365" spans="1:5" ht="12.75">
      <c r="A1365" s="1">
        <v>240</v>
      </c>
      <c r="B1365" s="1" t="s">
        <v>554</v>
      </c>
      <c r="C1365" s="1" t="s">
        <v>1295</v>
      </c>
      <c r="D1365" s="168">
        <v>29243</v>
      </c>
      <c r="E1365" s="201">
        <v>44874</v>
      </c>
    </row>
    <row r="1366" spans="1:5" ht="12.75">
      <c r="A1366" s="1">
        <v>241</v>
      </c>
      <c r="B1366" s="1" t="s">
        <v>885</v>
      </c>
      <c r="C1366" s="1" t="s">
        <v>875</v>
      </c>
      <c r="D1366" s="168">
        <v>243338.97</v>
      </c>
      <c r="E1366" s="201">
        <v>44768</v>
      </c>
    </row>
    <row r="1367" spans="1:5" ht="12.75">
      <c r="A1367" s="1">
        <v>242</v>
      </c>
      <c r="B1367" s="1" t="s">
        <v>885</v>
      </c>
      <c r="C1367" s="1" t="s">
        <v>14</v>
      </c>
      <c r="D1367" s="168">
        <v>179351.23</v>
      </c>
      <c r="E1367" s="201">
        <v>44767</v>
      </c>
    </row>
    <row r="1368" spans="1:5" ht="12.75">
      <c r="A1368" s="1">
        <v>243</v>
      </c>
      <c r="B1368" s="1" t="s">
        <v>885</v>
      </c>
      <c r="C1368" s="1" t="s">
        <v>573</v>
      </c>
      <c r="D1368" s="216">
        <v>69889.07</v>
      </c>
      <c r="E1368" s="217" t="s">
        <v>1301</v>
      </c>
    </row>
    <row r="1369" spans="1:5" ht="12.75">
      <c r="A1369" s="1">
        <v>244</v>
      </c>
      <c r="B1369" s="1" t="s">
        <v>885</v>
      </c>
      <c r="C1369" s="1" t="s">
        <v>1295</v>
      </c>
      <c r="D1369" s="168">
        <v>29541</v>
      </c>
      <c r="E1369" s="201">
        <v>44813</v>
      </c>
    </row>
    <row r="1370" spans="1:5" ht="12.75">
      <c r="A1370" s="1">
        <v>245</v>
      </c>
      <c r="B1370" s="1" t="s">
        <v>785</v>
      </c>
      <c r="C1370" s="1" t="s">
        <v>1295</v>
      </c>
      <c r="D1370" s="168">
        <v>24571</v>
      </c>
      <c r="E1370" s="201">
        <v>44795</v>
      </c>
    </row>
    <row r="1371" spans="1:5" ht="12.75">
      <c r="A1371" s="1">
        <v>246</v>
      </c>
      <c r="B1371" s="1" t="s">
        <v>15</v>
      </c>
      <c r="C1371" s="1" t="s">
        <v>875</v>
      </c>
      <c r="D1371" s="168">
        <v>206810.81</v>
      </c>
      <c r="E1371" s="201">
        <v>44708</v>
      </c>
    </row>
    <row r="1372" spans="1:5" ht="12.75">
      <c r="A1372" s="1">
        <v>247</v>
      </c>
      <c r="B1372" s="1" t="s">
        <v>16</v>
      </c>
      <c r="C1372" s="1" t="s">
        <v>875</v>
      </c>
      <c r="D1372" s="168">
        <v>111652.36</v>
      </c>
      <c r="E1372" s="201">
        <v>44739</v>
      </c>
    </row>
    <row r="1373" spans="1:5" ht="12.75">
      <c r="A1373" s="1">
        <v>248</v>
      </c>
      <c r="B1373" s="1" t="s">
        <v>17</v>
      </c>
      <c r="C1373" s="1" t="s">
        <v>1295</v>
      </c>
      <c r="D1373" s="168">
        <f>8077.86+5907.14</f>
        <v>13985</v>
      </c>
      <c r="E1373" s="201">
        <v>44785</v>
      </c>
    </row>
    <row r="1374" spans="1:5" ht="12.75">
      <c r="A1374" s="1">
        <v>249</v>
      </c>
      <c r="B1374" s="1" t="s">
        <v>17</v>
      </c>
      <c r="C1374" s="1" t="s">
        <v>573</v>
      </c>
      <c r="D1374" s="216">
        <v>69889.07</v>
      </c>
      <c r="E1374" s="217" t="s">
        <v>1301</v>
      </c>
    </row>
    <row r="1375" spans="1:5" ht="12.75">
      <c r="A1375" s="1">
        <v>250</v>
      </c>
      <c r="B1375" s="1" t="s">
        <v>17</v>
      </c>
      <c r="C1375" s="1" t="s">
        <v>1292</v>
      </c>
      <c r="D1375" s="168">
        <v>9959</v>
      </c>
      <c r="E1375" s="201">
        <v>44826</v>
      </c>
    </row>
    <row r="1376" spans="1:5" ht="12.75">
      <c r="A1376" s="1">
        <v>251</v>
      </c>
      <c r="B1376" s="1" t="s">
        <v>18</v>
      </c>
      <c r="C1376" s="1" t="s">
        <v>1116</v>
      </c>
      <c r="D1376" s="168">
        <v>119946</v>
      </c>
      <c r="E1376" s="201">
        <v>44795</v>
      </c>
    </row>
    <row r="1377" spans="1:5" ht="12.75">
      <c r="A1377" s="1">
        <v>252</v>
      </c>
      <c r="B1377" s="1" t="s">
        <v>888</v>
      </c>
      <c r="C1377" s="1" t="s">
        <v>1292</v>
      </c>
      <c r="D1377" s="168">
        <v>13201</v>
      </c>
      <c r="E1377" s="201">
        <v>44629</v>
      </c>
    </row>
    <row r="1378" spans="1:5" ht="12.75">
      <c r="A1378" s="1">
        <v>253</v>
      </c>
      <c r="B1378" s="1" t="s">
        <v>888</v>
      </c>
      <c r="C1378" s="1" t="s">
        <v>1116</v>
      </c>
      <c r="D1378" s="168">
        <f>82242.84+163761.43</f>
        <v>246004.27</v>
      </c>
      <c r="E1378" s="201">
        <v>44713</v>
      </c>
    </row>
    <row r="1379" spans="1:5" ht="12.75">
      <c r="A1379" s="1">
        <v>254</v>
      </c>
      <c r="B1379" s="1" t="s">
        <v>19</v>
      </c>
      <c r="C1379" s="1" t="s">
        <v>1295</v>
      </c>
      <c r="D1379" s="168">
        <f>1424.01+4786.99</f>
        <v>6211</v>
      </c>
      <c r="E1379" s="201">
        <v>44774</v>
      </c>
    </row>
    <row r="1380" spans="1:5" ht="12.75">
      <c r="A1380" s="1">
        <v>255</v>
      </c>
      <c r="B1380" s="1" t="s">
        <v>20</v>
      </c>
      <c r="C1380" s="1" t="s">
        <v>1295</v>
      </c>
      <c r="D1380" s="168">
        <v>6235</v>
      </c>
      <c r="E1380" s="201">
        <v>44663</v>
      </c>
    </row>
    <row r="1381" spans="1:5" ht="12.75">
      <c r="A1381" s="1">
        <v>256</v>
      </c>
      <c r="B1381" s="1" t="s">
        <v>1257</v>
      </c>
      <c r="C1381" s="1" t="s">
        <v>1292</v>
      </c>
      <c r="D1381" s="168">
        <v>2284</v>
      </c>
      <c r="E1381" s="201">
        <v>44826</v>
      </c>
    </row>
    <row r="1382" spans="1:5" ht="12.75">
      <c r="A1382" s="1">
        <v>257</v>
      </c>
      <c r="B1382" s="1" t="s">
        <v>21</v>
      </c>
      <c r="C1382" s="1" t="s">
        <v>1294</v>
      </c>
      <c r="D1382" s="168">
        <v>200000</v>
      </c>
      <c r="E1382" s="201">
        <v>44692</v>
      </c>
    </row>
    <row r="1383" spans="1:5" ht="12.75">
      <c r="A1383" s="1">
        <v>258</v>
      </c>
      <c r="B1383" s="1" t="s">
        <v>22</v>
      </c>
      <c r="C1383" s="1" t="s">
        <v>1295</v>
      </c>
      <c r="D1383" s="168">
        <v>20090</v>
      </c>
      <c r="E1383" s="201">
        <v>44802</v>
      </c>
    </row>
    <row r="1384" spans="1:5" ht="12.75">
      <c r="A1384" s="1">
        <v>259</v>
      </c>
      <c r="B1384" s="1" t="s">
        <v>23</v>
      </c>
      <c r="C1384" s="1" t="s">
        <v>1116</v>
      </c>
      <c r="D1384" s="168">
        <v>103209.76</v>
      </c>
      <c r="E1384" s="201">
        <v>44795</v>
      </c>
    </row>
    <row r="1385" spans="1:5" ht="12.75">
      <c r="A1385" s="1">
        <v>260</v>
      </c>
      <c r="B1385" s="1" t="s">
        <v>790</v>
      </c>
      <c r="C1385" s="1" t="s">
        <v>965</v>
      </c>
      <c r="D1385" s="168">
        <v>246500</v>
      </c>
      <c r="E1385" s="201">
        <v>44713</v>
      </c>
    </row>
    <row r="1386" spans="1:5" ht="12.75">
      <c r="A1386" s="1">
        <v>261</v>
      </c>
      <c r="B1386" s="1" t="s">
        <v>24</v>
      </c>
      <c r="C1386" s="1" t="s">
        <v>1295</v>
      </c>
      <c r="D1386" s="168">
        <v>3276</v>
      </c>
      <c r="E1386" s="201">
        <v>44846</v>
      </c>
    </row>
    <row r="1387" spans="1:5" ht="12.75">
      <c r="A1387" s="1">
        <v>262</v>
      </c>
      <c r="B1387" s="1" t="s">
        <v>559</v>
      </c>
      <c r="C1387" s="1" t="s">
        <v>1342</v>
      </c>
      <c r="D1387" s="168">
        <v>216244.9</v>
      </c>
      <c r="E1387" s="201">
        <v>44718</v>
      </c>
    </row>
    <row r="1388" spans="1:5" ht="12.75">
      <c r="A1388" s="1">
        <v>263</v>
      </c>
      <c r="B1388" s="1" t="s">
        <v>1060</v>
      </c>
      <c r="C1388" s="1" t="s">
        <v>1295</v>
      </c>
      <c r="D1388" s="168">
        <v>3553</v>
      </c>
      <c r="E1388" s="201">
        <v>44813</v>
      </c>
    </row>
    <row r="1389" spans="1:5" ht="12.75">
      <c r="A1389" s="1">
        <v>264</v>
      </c>
      <c r="B1389" s="1" t="s">
        <v>791</v>
      </c>
      <c r="C1389" s="1" t="s">
        <v>1305</v>
      </c>
      <c r="D1389" s="168">
        <v>24096.97</v>
      </c>
      <c r="E1389" s="201">
        <v>44608</v>
      </c>
    </row>
    <row r="1390" spans="1:5" ht="12.75">
      <c r="A1390" s="1">
        <v>265</v>
      </c>
      <c r="B1390" s="1" t="s">
        <v>793</v>
      </c>
      <c r="C1390" s="1" t="s">
        <v>1295</v>
      </c>
      <c r="D1390" s="168">
        <v>13444</v>
      </c>
      <c r="E1390" s="201">
        <v>44813</v>
      </c>
    </row>
    <row r="1391" spans="1:5" ht="12.75">
      <c r="A1391" s="1">
        <v>266</v>
      </c>
      <c r="B1391" s="1" t="s">
        <v>1273</v>
      </c>
      <c r="C1391" s="1" t="s">
        <v>1292</v>
      </c>
      <c r="D1391" s="168">
        <v>2569</v>
      </c>
      <c r="E1391" s="201">
        <v>44629</v>
      </c>
    </row>
    <row r="1392" spans="1:5" ht="12.75">
      <c r="A1392" s="1">
        <v>267</v>
      </c>
      <c r="B1392" s="1" t="s">
        <v>690</v>
      </c>
      <c r="C1392" s="1" t="s">
        <v>573</v>
      </c>
      <c r="D1392" s="216">
        <v>75714.03</v>
      </c>
      <c r="E1392" s="217" t="s">
        <v>1301</v>
      </c>
    </row>
    <row r="1393" spans="1:5" ht="12.75">
      <c r="A1393" s="1">
        <v>268</v>
      </c>
      <c r="B1393" s="1" t="s">
        <v>692</v>
      </c>
      <c r="C1393" s="1" t="s">
        <v>1292</v>
      </c>
      <c r="D1393" s="168">
        <v>13292</v>
      </c>
      <c r="E1393" s="201">
        <v>44629</v>
      </c>
    </row>
    <row r="1394" spans="1:5" ht="12.75">
      <c r="A1394" s="1">
        <v>269</v>
      </c>
      <c r="B1394" s="1" t="s">
        <v>25</v>
      </c>
      <c r="C1394" s="1" t="s">
        <v>875</v>
      </c>
      <c r="D1394" s="168">
        <f>332075.93+50431.11</f>
        <v>382507.04</v>
      </c>
      <c r="E1394" s="201">
        <v>44715</v>
      </c>
    </row>
    <row r="1395" spans="1:5" ht="12.75">
      <c r="A1395" s="1">
        <v>270</v>
      </c>
      <c r="B1395" s="1" t="s">
        <v>26</v>
      </c>
      <c r="C1395" s="1" t="s">
        <v>1116</v>
      </c>
      <c r="D1395" s="168">
        <v>129606.36</v>
      </c>
      <c r="E1395" s="201">
        <v>44816</v>
      </c>
    </row>
    <row r="1396" spans="1:5" ht="12.75">
      <c r="A1396" s="1">
        <v>271</v>
      </c>
      <c r="B1396" s="1" t="s">
        <v>796</v>
      </c>
      <c r="C1396" s="1" t="s">
        <v>1295</v>
      </c>
      <c r="D1396" s="168">
        <v>3599</v>
      </c>
      <c r="E1396" s="201">
        <v>44825</v>
      </c>
    </row>
    <row r="1397" spans="1:5" ht="12.75">
      <c r="A1397" s="1">
        <v>272</v>
      </c>
      <c r="B1397" s="1" t="s">
        <v>1282</v>
      </c>
      <c r="C1397" s="1" t="s">
        <v>1292</v>
      </c>
      <c r="D1397" s="168">
        <v>1132</v>
      </c>
      <c r="E1397" s="201">
        <v>44629</v>
      </c>
    </row>
    <row r="1398" spans="1:5" ht="12.75">
      <c r="A1398" s="1">
        <v>273</v>
      </c>
      <c r="B1398" s="1" t="s">
        <v>1282</v>
      </c>
      <c r="C1398" s="1" t="s">
        <v>1295</v>
      </c>
      <c r="D1398" s="168">
        <v>3276</v>
      </c>
      <c r="E1398" s="201">
        <v>44923</v>
      </c>
    </row>
    <row r="1399" spans="1:5" ht="12.75">
      <c r="A1399" s="1">
        <v>274</v>
      </c>
      <c r="B1399" s="1" t="s">
        <v>27</v>
      </c>
      <c r="C1399" s="1" t="s">
        <v>1295</v>
      </c>
      <c r="D1399" s="168">
        <v>5664</v>
      </c>
      <c r="E1399" s="201">
        <v>44923</v>
      </c>
    </row>
    <row r="1400" spans="1:5" ht="12.75">
      <c r="A1400" s="1">
        <v>275</v>
      </c>
      <c r="B1400" s="1" t="s">
        <v>28</v>
      </c>
      <c r="C1400" s="1" t="s">
        <v>1295</v>
      </c>
      <c r="D1400" s="168">
        <v>5664</v>
      </c>
      <c r="E1400" s="201">
        <v>45280</v>
      </c>
    </row>
    <row r="1401" spans="1:5" ht="12.75">
      <c r="A1401" s="1">
        <v>276</v>
      </c>
      <c r="B1401" s="1" t="s">
        <v>949</v>
      </c>
      <c r="C1401" s="1" t="s">
        <v>510</v>
      </c>
      <c r="D1401" s="168">
        <v>47368.7</v>
      </c>
      <c r="E1401" s="201">
        <v>44587</v>
      </c>
    </row>
    <row r="1402" spans="1:5" ht="12.75">
      <c r="A1402" s="1">
        <v>277</v>
      </c>
      <c r="B1402" s="1" t="s">
        <v>29</v>
      </c>
      <c r="C1402" s="1" t="s">
        <v>875</v>
      </c>
      <c r="D1402" s="168">
        <f>12297.8+93456.19</f>
        <v>105753.99</v>
      </c>
      <c r="E1402" s="201">
        <v>44827</v>
      </c>
    </row>
    <row r="1403" spans="1:5" ht="12.75">
      <c r="A1403" s="1">
        <v>278</v>
      </c>
      <c r="B1403" s="1" t="s">
        <v>30</v>
      </c>
      <c r="C1403" s="1" t="s">
        <v>1116</v>
      </c>
      <c r="D1403" s="168">
        <f>455271.96+39428.04</f>
        <v>494700</v>
      </c>
      <c r="E1403" s="201">
        <v>44677</v>
      </c>
    </row>
    <row r="1404" spans="1:5" ht="12.75">
      <c r="A1404" s="1">
        <v>279</v>
      </c>
      <c r="B1404" s="1" t="s">
        <v>949</v>
      </c>
      <c r="C1404" s="1" t="s">
        <v>1280</v>
      </c>
      <c r="D1404" s="168">
        <v>9209.79</v>
      </c>
      <c r="E1404" s="201">
        <v>44867</v>
      </c>
    </row>
    <row r="1405" spans="1:5" ht="12.75">
      <c r="A1405" s="1">
        <v>280</v>
      </c>
      <c r="B1405" s="1" t="s">
        <v>949</v>
      </c>
      <c r="C1405" s="1" t="s">
        <v>970</v>
      </c>
      <c r="D1405" s="168">
        <v>168000</v>
      </c>
      <c r="E1405" s="201">
        <v>44866</v>
      </c>
    </row>
    <row r="1406" spans="1:5" ht="12.75">
      <c r="A1406" s="1">
        <v>281</v>
      </c>
      <c r="B1406" s="1" t="s">
        <v>797</v>
      </c>
      <c r="C1406" s="1" t="s">
        <v>31</v>
      </c>
      <c r="D1406" s="168">
        <f>70504.11+253260.01</f>
        <v>323764.12</v>
      </c>
      <c r="E1406" s="201">
        <v>44648</v>
      </c>
    </row>
    <row r="1407" spans="1:5" ht="12.75">
      <c r="A1407" s="1">
        <v>282</v>
      </c>
      <c r="B1407" s="1" t="s">
        <v>1068</v>
      </c>
      <c r="C1407" s="1" t="s">
        <v>875</v>
      </c>
      <c r="D1407" s="168">
        <f>19354.28+220440.27</f>
        <v>239794.55</v>
      </c>
      <c r="E1407" s="201">
        <v>44697</v>
      </c>
    </row>
    <row r="1408" spans="1:5" ht="12.75">
      <c r="A1408" s="1">
        <v>283</v>
      </c>
      <c r="B1408" s="1" t="s">
        <v>1068</v>
      </c>
      <c r="C1408" s="1" t="s">
        <v>1303</v>
      </c>
      <c r="D1408" s="168">
        <v>117298.9</v>
      </c>
      <c r="E1408" s="201">
        <v>44732</v>
      </c>
    </row>
    <row r="1409" spans="1:5" ht="12.75">
      <c r="A1409" s="1">
        <v>284</v>
      </c>
      <c r="B1409" s="1" t="s">
        <v>1068</v>
      </c>
      <c r="C1409" s="1" t="s">
        <v>1292</v>
      </c>
      <c r="D1409" s="168">
        <v>9159</v>
      </c>
      <c r="E1409" s="201">
        <v>44826</v>
      </c>
    </row>
    <row r="1410" spans="1:5" ht="12.75">
      <c r="A1410" s="1">
        <v>285</v>
      </c>
      <c r="B1410" s="1" t="s">
        <v>1068</v>
      </c>
      <c r="C1410" s="1" t="s">
        <v>1116</v>
      </c>
      <c r="D1410" s="168">
        <v>238923.92</v>
      </c>
      <c r="E1410" s="201">
        <v>44845</v>
      </c>
    </row>
    <row r="1411" spans="1:5" ht="12.75">
      <c r="A1411" s="1">
        <v>286</v>
      </c>
      <c r="B1411" s="1" t="s">
        <v>1068</v>
      </c>
      <c r="C1411" s="1" t="s">
        <v>1280</v>
      </c>
      <c r="D1411" s="168">
        <v>5452.47</v>
      </c>
      <c r="E1411" s="201">
        <v>44867</v>
      </c>
    </row>
    <row r="1412" spans="1:5" ht="12.75">
      <c r="A1412" s="1">
        <v>287</v>
      </c>
      <c r="B1412" s="1" t="s">
        <v>952</v>
      </c>
      <c r="C1412" s="1" t="s">
        <v>1295</v>
      </c>
      <c r="D1412" s="168">
        <v>7107</v>
      </c>
      <c r="E1412" s="201">
        <v>44739</v>
      </c>
    </row>
    <row r="1413" spans="1:5" ht="12.75">
      <c r="A1413" s="1">
        <v>288</v>
      </c>
      <c r="B1413" s="1" t="s">
        <v>32</v>
      </c>
      <c r="C1413" s="1" t="s">
        <v>1292</v>
      </c>
      <c r="D1413" s="168">
        <v>10728</v>
      </c>
      <c r="E1413" s="201">
        <v>44826</v>
      </c>
    </row>
    <row r="1414" spans="1:5" ht="12.75">
      <c r="A1414" s="1">
        <v>289</v>
      </c>
      <c r="B1414" s="1" t="s">
        <v>33</v>
      </c>
      <c r="C1414" s="1" t="s">
        <v>1116</v>
      </c>
      <c r="D1414" s="168">
        <v>124217.72</v>
      </c>
      <c r="E1414" s="201">
        <v>44816</v>
      </c>
    </row>
    <row r="1415" spans="1:5" s="7" customFormat="1" ht="12.75">
      <c r="A1415" s="1"/>
      <c r="B1415" s="1"/>
      <c r="C1415" s="1"/>
      <c r="D1415" s="9">
        <f>SUM(D1126:D1414)</f>
        <v>27846080.19000001</v>
      </c>
      <c r="E1415" s="201"/>
    </row>
  </sheetData>
  <mergeCells count="8">
    <mergeCell ref="A405:E405"/>
    <mergeCell ref="A486:E486"/>
    <mergeCell ref="A715:E715"/>
    <mergeCell ref="A1121:E1121"/>
    <mergeCell ref="A2:E2"/>
    <mergeCell ref="A63:E63"/>
    <mergeCell ref="A183:E183"/>
    <mergeCell ref="A300:E30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Z321"/>
  <sheetViews>
    <sheetView tabSelected="1" workbookViewId="0" topLeftCell="A1">
      <pane xSplit="2" ySplit="8" topLeftCell="AP9" activePane="bottomRight" state="frozen"/>
      <selection pane="topLeft" activeCell="P44" sqref="P44"/>
      <selection pane="topRight" activeCell="P44" sqref="P44"/>
      <selection pane="bottomLeft" activeCell="P44" sqref="P44"/>
      <selection pane="bottomRight" activeCell="AX8" sqref="AX8"/>
    </sheetView>
  </sheetViews>
  <sheetFormatPr defaultColWidth="9.140625" defaultRowHeight="12.75"/>
  <cols>
    <col min="1" max="1" width="6.421875" style="7" customWidth="1"/>
    <col min="2" max="2" width="43.57421875" style="7" customWidth="1"/>
    <col min="3" max="3" width="15.7109375" style="7" customWidth="1"/>
    <col min="4" max="4" width="12.140625" style="7" customWidth="1"/>
    <col min="5" max="5" width="12.7109375" style="7" customWidth="1"/>
    <col min="6" max="6" width="15.8515625" style="14" customWidth="1"/>
    <col min="7" max="7" width="14.28125" style="7" customWidth="1"/>
    <col min="8" max="8" width="14.7109375" style="7" customWidth="1"/>
    <col min="9" max="9" width="15.8515625" style="7" customWidth="1"/>
    <col min="10" max="10" width="18.140625" style="7" customWidth="1"/>
    <col min="11" max="11" width="15.57421875" style="7" customWidth="1"/>
    <col min="12" max="12" width="18.57421875" style="7" customWidth="1"/>
    <col min="13" max="13" width="19.00390625" style="7" customWidth="1"/>
    <col min="14" max="14" width="22.28125" style="7" customWidth="1"/>
    <col min="15" max="15" width="13.7109375" style="0" customWidth="1"/>
    <col min="16" max="16" width="14.140625" style="0" customWidth="1"/>
    <col min="17" max="17" width="15.140625" style="0" customWidth="1"/>
    <col min="18" max="18" width="13.8515625" style="0" customWidth="1"/>
    <col min="19" max="19" width="14.28125" style="0" customWidth="1"/>
    <col min="20" max="20" width="13.8515625" style="0" customWidth="1"/>
    <col min="21" max="21" width="13.7109375" style="0" customWidth="1"/>
    <col min="22" max="22" width="14.00390625" style="0" customWidth="1"/>
    <col min="23" max="24" width="14.7109375" style="0" customWidth="1"/>
    <col min="25" max="25" width="13.7109375" style="0" customWidth="1"/>
    <col min="26" max="26" width="16.28125" style="0" customWidth="1"/>
    <col min="27" max="27" width="16.140625" style="0" customWidth="1"/>
    <col min="28" max="28" width="14.7109375" style="0" customWidth="1"/>
    <col min="29" max="29" width="15.57421875" style="0" customWidth="1"/>
    <col min="30" max="30" width="14.28125" style="0" customWidth="1"/>
    <col min="31" max="31" width="14.8515625" style="0" customWidth="1"/>
    <col min="32" max="32" width="14.7109375" style="0" customWidth="1"/>
    <col min="33" max="33" width="16.57421875" style="0" customWidth="1"/>
    <col min="34" max="34" width="16.421875" style="0" customWidth="1"/>
    <col min="35" max="35" width="17.00390625" style="0" customWidth="1"/>
    <col min="36" max="36" width="13.57421875" style="0" customWidth="1"/>
    <col min="37" max="37" width="14.140625" style="0" customWidth="1"/>
    <col min="38" max="38" width="15.140625" style="0" customWidth="1"/>
    <col min="39" max="39" width="17.28125" style="0" customWidth="1"/>
    <col min="40" max="40" width="17.00390625" style="0" customWidth="1"/>
    <col min="41" max="41" width="16.140625" style="250" customWidth="1"/>
    <col min="42" max="42" width="13.57421875" style="0" customWidth="1"/>
    <col min="43" max="43" width="18.421875" style="0" customWidth="1"/>
    <col min="44" max="44" width="13.57421875" style="0" customWidth="1"/>
    <col min="45" max="45" width="15.00390625" style="7" customWidth="1"/>
    <col min="46" max="46" width="19.140625" style="162" customWidth="1"/>
    <col min="47" max="48" width="17.7109375" style="0" customWidth="1"/>
    <col min="49" max="49" width="18.7109375" style="243" customWidth="1"/>
    <col min="50" max="50" width="22.7109375" style="0" customWidth="1"/>
    <col min="51" max="51" width="16.7109375" style="7" customWidth="1"/>
    <col min="52" max="78" width="9.140625" style="7" customWidth="1"/>
  </cols>
  <sheetData>
    <row r="1" spans="2:41" ht="29.25" customHeight="1">
      <c r="B1" s="15" t="s">
        <v>438</v>
      </c>
      <c r="F1" s="159"/>
      <c r="I1" s="40"/>
      <c r="AO1" s="244"/>
    </row>
    <row r="2" spans="1:51" ht="60" customHeight="1">
      <c r="A2" s="42"/>
      <c r="B2" s="42"/>
      <c r="C2" s="42"/>
      <c r="D2" s="42"/>
      <c r="E2" s="42"/>
      <c r="F2" s="160"/>
      <c r="G2" s="129"/>
      <c r="H2" s="42"/>
      <c r="I2" s="128"/>
      <c r="J2" s="129"/>
      <c r="K2" s="130"/>
      <c r="L2" s="42"/>
      <c r="M2" s="42"/>
      <c r="N2" s="131"/>
      <c r="O2" s="235" t="s">
        <v>359</v>
      </c>
      <c r="P2" s="236"/>
      <c r="Q2" s="235" t="s">
        <v>359</v>
      </c>
      <c r="R2" s="236"/>
      <c r="S2" s="235" t="s">
        <v>359</v>
      </c>
      <c r="T2" s="236"/>
      <c r="U2" s="235" t="s">
        <v>359</v>
      </c>
      <c r="V2" s="236"/>
      <c r="W2" s="235" t="s">
        <v>359</v>
      </c>
      <c r="X2" s="236"/>
      <c r="Y2" s="235" t="s">
        <v>359</v>
      </c>
      <c r="Z2" s="236"/>
      <c r="AA2" s="235" t="s">
        <v>359</v>
      </c>
      <c r="AB2" s="236"/>
      <c r="AC2" s="235" t="s">
        <v>359</v>
      </c>
      <c r="AD2" s="236"/>
      <c r="AE2" s="235" t="s">
        <v>359</v>
      </c>
      <c r="AF2" s="236"/>
      <c r="AG2" s="235" t="s">
        <v>359</v>
      </c>
      <c r="AH2" s="236"/>
      <c r="AI2" s="235" t="s">
        <v>359</v>
      </c>
      <c r="AJ2" s="236"/>
      <c r="AK2" s="235" t="s">
        <v>359</v>
      </c>
      <c r="AL2" s="236"/>
      <c r="AM2" s="235" t="s">
        <v>359</v>
      </c>
      <c r="AN2" s="236"/>
      <c r="AO2" s="229"/>
      <c r="AP2" s="230"/>
      <c r="AQ2" s="230"/>
      <c r="AR2" s="25"/>
      <c r="AS2" s="25"/>
      <c r="AT2" s="251"/>
      <c r="AU2" s="25"/>
      <c r="AV2" s="24"/>
      <c r="AW2" s="218"/>
      <c r="AX2" s="140"/>
      <c r="AY2" s="41"/>
    </row>
    <row r="3" spans="1:51" ht="15" customHeight="1">
      <c r="A3" s="3"/>
      <c r="B3" s="3"/>
      <c r="C3" s="3"/>
      <c r="D3" s="3"/>
      <c r="E3" s="3"/>
      <c r="F3" s="32"/>
      <c r="G3" s="3"/>
      <c r="H3" s="3"/>
      <c r="I3" s="3"/>
      <c r="J3" s="3"/>
      <c r="K3" s="3"/>
      <c r="L3" s="17" t="s">
        <v>347</v>
      </c>
      <c r="M3" s="100" t="s">
        <v>442</v>
      </c>
      <c r="N3" s="132" t="s">
        <v>347</v>
      </c>
      <c r="O3" s="233"/>
      <c r="P3" s="234"/>
      <c r="Q3" s="233"/>
      <c r="R3" s="234"/>
      <c r="S3" s="233"/>
      <c r="T3" s="234"/>
      <c r="U3" s="233"/>
      <c r="V3" s="234"/>
      <c r="W3" s="233"/>
      <c r="X3" s="234"/>
      <c r="Y3" s="233"/>
      <c r="Z3" s="234"/>
      <c r="AA3" s="233"/>
      <c r="AB3" s="234"/>
      <c r="AC3" s="233"/>
      <c r="AD3" s="234"/>
      <c r="AE3" s="233"/>
      <c r="AF3" s="234"/>
      <c r="AG3" s="233"/>
      <c r="AH3" s="234"/>
      <c r="AI3" s="233"/>
      <c r="AJ3" s="234"/>
      <c r="AK3" s="233"/>
      <c r="AL3" s="234"/>
      <c r="AM3" s="233"/>
      <c r="AN3" s="234"/>
      <c r="AO3" s="245"/>
      <c r="AP3" s="20"/>
      <c r="AQ3" s="20"/>
      <c r="AR3" s="20"/>
      <c r="AS3" s="23"/>
      <c r="AT3" s="252"/>
      <c r="AU3" s="23"/>
      <c r="AV3" s="23"/>
      <c r="AW3" s="219"/>
      <c r="AX3" s="141"/>
      <c r="AY3" s="11"/>
    </row>
    <row r="4" spans="1:51" ht="13.5" customHeight="1">
      <c r="A4" s="3"/>
      <c r="B4" s="3"/>
      <c r="C4" s="3"/>
      <c r="D4" s="3"/>
      <c r="E4" s="3"/>
      <c r="F4" s="32"/>
      <c r="G4" s="3"/>
      <c r="H4" s="133"/>
      <c r="I4" s="3"/>
      <c r="J4" s="3"/>
      <c r="K4" s="3"/>
      <c r="L4" s="17">
        <v>2022</v>
      </c>
      <c r="M4" s="100"/>
      <c r="N4" s="132">
        <v>2022</v>
      </c>
      <c r="O4" s="233"/>
      <c r="P4" s="234"/>
      <c r="Q4" s="233"/>
      <c r="R4" s="234"/>
      <c r="S4" s="233"/>
      <c r="T4" s="234"/>
      <c r="U4" s="233"/>
      <c r="V4" s="234"/>
      <c r="W4" s="233"/>
      <c r="X4" s="234"/>
      <c r="Y4" s="233"/>
      <c r="Z4" s="234"/>
      <c r="AA4" s="233"/>
      <c r="AB4" s="234"/>
      <c r="AC4" s="233"/>
      <c r="AD4" s="234"/>
      <c r="AE4" s="233"/>
      <c r="AF4" s="234"/>
      <c r="AG4" s="233"/>
      <c r="AH4" s="234"/>
      <c r="AI4" s="233"/>
      <c r="AJ4" s="234"/>
      <c r="AK4" s="233"/>
      <c r="AL4" s="234"/>
      <c r="AM4" s="233"/>
      <c r="AN4" s="234"/>
      <c r="AO4" s="246"/>
      <c r="AP4" s="17"/>
      <c r="AQ4" s="23"/>
      <c r="AR4" s="23"/>
      <c r="AS4" s="100"/>
      <c r="AT4" s="253"/>
      <c r="AU4" s="100"/>
      <c r="AV4" s="100"/>
      <c r="AW4" s="219"/>
      <c r="AX4" s="142"/>
      <c r="AY4" s="11"/>
    </row>
    <row r="5" spans="1:51" ht="21.75" customHeight="1">
      <c r="A5" s="3" t="s">
        <v>323</v>
      </c>
      <c r="B5" s="3"/>
      <c r="C5" s="237" t="s">
        <v>363</v>
      </c>
      <c r="D5" s="237"/>
      <c r="E5" s="237"/>
      <c r="F5" s="237" t="s">
        <v>440</v>
      </c>
      <c r="G5" s="237"/>
      <c r="H5" s="238" t="s">
        <v>357</v>
      </c>
      <c r="I5" s="237" t="s">
        <v>441</v>
      </c>
      <c r="J5" s="237"/>
      <c r="K5" s="238" t="s">
        <v>358</v>
      </c>
      <c r="L5" s="100"/>
      <c r="M5" s="100"/>
      <c r="N5" s="132" t="s">
        <v>348</v>
      </c>
      <c r="O5" s="233"/>
      <c r="P5" s="234"/>
      <c r="Q5" s="233"/>
      <c r="R5" s="234"/>
      <c r="S5" s="233"/>
      <c r="T5" s="234"/>
      <c r="U5" s="233"/>
      <c r="V5" s="234"/>
      <c r="W5" s="233"/>
      <c r="X5" s="234"/>
      <c r="Y5" s="233"/>
      <c r="Z5" s="234"/>
      <c r="AA5" s="233"/>
      <c r="AB5" s="234"/>
      <c r="AC5" s="233"/>
      <c r="AD5" s="234"/>
      <c r="AE5" s="233"/>
      <c r="AF5" s="234"/>
      <c r="AG5" s="233"/>
      <c r="AH5" s="234"/>
      <c r="AI5" s="233"/>
      <c r="AJ5" s="234"/>
      <c r="AK5" s="233"/>
      <c r="AL5" s="234"/>
      <c r="AM5" s="233"/>
      <c r="AN5" s="234"/>
      <c r="AO5" s="231"/>
      <c r="AP5" s="232"/>
      <c r="AQ5" s="232"/>
      <c r="AR5" s="30"/>
      <c r="AS5" s="100"/>
      <c r="AT5" s="252"/>
      <c r="AU5" s="100"/>
      <c r="AV5" s="100"/>
      <c r="AW5" s="220"/>
      <c r="AX5" s="165"/>
      <c r="AY5" s="187"/>
    </row>
    <row r="6" spans="1:51" ht="18.75" customHeight="1">
      <c r="A6" s="3" t="s">
        <v>324</v>
      </c>
      <c r="B6" s="134"/>
      <c r="C6" s="237"/>
      <c r="D6" s="237"/>
      <c r="E6" s="237"/>
      <c r="F6" s="161" t="s">
        <v>325</v>
      </c>
      <c r="G6" s="136" t="s">
        <v>356</v>
      </c>
      <c r="H6" s="238"/>
      <c r="I6" s="135" t="s">
        <v>325</v>
      </c>
      <c r="J6" s="136" t="s">
        <v>356</v>
      </c>
      <c r="K6" s="238"/>
      <c r="L6" s="8"/>
      <c r="M6" s="100" t="s">
        <v>443</v>
      </c>
      <c r="N6" s="132" t="s">
        <v>349</v>
      </c>
      <c r="O6" s="239" t="s">
        <v>350</v>
      </c>
      <c r="P6" s="240"/>
      <c r="Q6" s="239" t="s">
        <v>351</v>
      </c>
      <c r="R6" s="240"/>
      <c r="S6" s="239" t="s">
        <v>331</v>
      </c>
      <c r="T6" s="240"/>
      <c r="U6" s="233" t="s">
        <v>352</v>
      </c>
      <c r="V6" s="234"/>
      <c r="W6" s="233" t="s">
        <v>332</v>
      </c>
      <c r="X6" s="234"/>
      <c r="Y6" s="233" t="s">
        <v>333</v>
      </c>
      <c r="Z6" s="234"/>
      <c r="AA6" s="233" t="s">
        <v>334</v>
      </c>
      <c r="AB6" s="234"/>
      <c r="AC6" s="233" t="s">
        <v>335</v>
      </c>
      <c r="AD6" s="234"/>
      <c r="AE6" s="233" t="s">
        <v>336</v>
      </c>
      <c r="AF6" s="234"/>
      <c r="AG6" s="233" t="s">
        <v>337</v>
      </c>
      <c r="AH6" s="234"/>
      <c r="AI6" s="233" t="s">
        <v>338</v>
      </c>
      <c r="AJ6" s="234"/>
      <c r="AK6" s="233" t="s">
        <v>339</v>
      </c>
      <c r="AL6" s="234"/>
      <c r="AM6" s="227" t="s">
        <v>353</v>
      </c>
      <c r="AN6" s="228"/>
      <c r="AO6" s="261" t="s">
        <v>449</v>
      </c>
      <c r="AP6" s="262"/>
      <c r="AQ6" s="262"/>
      <c r="AR6" s="263"/>
      <c r="AS6" s="263"/>
      <c r="AT6" s="264"/>
      <c r="AU6" s="258" t="s">
        <v>366</v>
      </c>
      <c r="AV6" s="259"/>
      <c r="AW6" s="260"/>
      <c r="AX6" s="142"/>
      <c r="AY6" s="188"/>
    </row>
    <row r="7" spans="1:51" ht="18.75" customHeight="1">
      <c r="A7" s="3"/>
      <c r="B7" s="134"/>
      <c r="C7" s="100"/>
      <c r="D7" s="100"/>
      <c r="E7" s="100"/>
      <c r="F7" s="161"/>
      <c r="G7" s="136"/>
      <c r="H7" s="133"/>
      <c r="I7" s="135"/>
      <c r="J7" s="136"/>
      <c r="K7" s="133"/>
      <c r="L7" s="8"/>
      <c r="M7" s="100"/>
      <c r="N7" s="132"/>
      <c r="O7" s="153"/>
      <c r="P7" s="154"/>
      <c r="Q7" s="153"/>
      <c r="R7" s="154"/>
      <c r="S7" s="153"/>
      <c r="T7" s="154"/>
      <c r="U7" s="155"/>
      <c r="V7" s="156"/>
      <c r="W7" s="155"/>
      <c r="X7" s="156"/>
      <c r="Y7" s="155"/>
      <c r="Z7" s="156"/>
      <c r="AA7" s="155"/>
      <c r="AB7" s="156"/>
      <c r="AC7" s="155"/>
      <c r="AD7" s="156"/>
      <c r="AE7" s="155"/>
      <c r="AF7" s="156"/>
      <c r="AG7" s="155"/>
      <c r="AH7" s="156"/>
      <c r="AI7" s="155"/>
      <c r="AJ7" s="156"/>
      <c r="AK7" s="155"/>
      <c r="AL7" s="156"/>
      <c r="AM7" s="157"/>
      <c r="AN7" s="158"/>
      <c r="AO7" s="254"/>
      <c r="AP7" s="255"/>
      <c r="AQ7" s="255"/>
      <c r="AR7" s="255"/>
      <c r="AS7" s="256"/>
      <c r="AT7" s="257"/>
      <c r="AU7" s="17"/>
      <c r="AV7" s="17"/>
      <c r="AW7" s="219"/>
      <c r="AX7" s="142"/>
      <c r="AY7" s="11"/>
    </row>
    <row r="8" spans="1:51" ht="143.25" customHeight="1">
      <c r="A8" s="1" t="s">
        <v>369</v>
      </c>
      <c r="B8" s="137" t="s">
        <v>329</v>
      </c>
      <c r="C8" s="16" t="s">
        <v>327</v>
      </c>
      <c r="D8" s="16" t="s">
        <v>328</v>
      </c>
      <c r="E8" s="16" t="s">
        <v>34</v>
      </c>
      <c r="F8" s="241" t="s">
        <v>361</v>
      </c>
      <c r="G8" s="242"/>
      <c r="H8" s="1"/>
      <c r="I8" s="241" t="s">
        <v>361</v>
      </c>
      <c r="J8" s="242"/>
      <c r="K8" s="1"/>
      <c r="L8" s="1"/>
      <c r="M8" s="1"/>
      <c r="N8" s="138"/>
      <c r="O8" s="5" t="s">
        <v>343</v>
      </c>
      <c r="P8" s="5" t="s">
        <v>344</v>
      </c>
      <c r="Q8" s="5" t="s">
        <v>343</v>
      </c>
      <c r="R8" s="5" t="s">
        <v>344</v>
      </c>
      <c r="S8" s="5" t="s">
        <v>343</v>
      </c>
      <c r="T8" s="5" t="s">
        <v>344</v>
      </c>
      <c r="U8" s="5" t="s">
        <v>343</v>
      </c>
      <c r="V8" s="5" t="s">
        <v>344</v>
      </c>
      <c r="W8" s="5" t="s">
        <v>343</v>
      </c>
      <c r="X8" s="5" t="s">
        <v>344</v>
      </c>
      <c r="Y8" s="5" t="s">
        <v>343</v>
      </c>
      <c r="Z8" s="5" t="s">
        <v>344</v>
      </c>
      <c r="AA8" s="5" t="s">
        <v>343</v>
      </c>
      <c r="AB8" s="5" t="s">
        <v>344</v>
      </c>
      <c r="AC8" s="5" t="s">
        <v>343</v>
      </c>
      <c r="AD8" s="5" t="s">
        <v>344</v>
      </c>
      <c r="AE8" s="5" t="s">
        <v>343</v>
      </c>
      <c r="AF8" s="5" t="s">
        <v>344</v>
      </c>
      <c r="AG8" s="5" t="s">
        <v>343</v>
      </c>
      <c r="AH8" s="5" t="s">
        <v>344</v>
      </c>
      <c r="AI8" s="5" t="s">
        <v>343</v>
      </c>
      <c r="AJ8" s="5" t="s">
        <v>344</v>
      </c>
      <c r="AK8" s="5" t="s">
        <v>343</v>
      </c>
      <c r="AL8" s="5" t="s">
        <v>344</v>
      </c>
      <c r="AM8" s="16" t="s">
        <v>343</v>
      </c>
      <c r="AN8" s="16" t="s">
        <v>344</v>
      </c>
      <c r="AO8" s="247" t="s">
        <v>450</v>
      </c>
      <c r="AP8" s="31" t="s">
        <v>360</v>
      </c>
      <c r="AQ8" s="31" t="s">
        <v>2</v>
      </c>
      <c r="AR8" s="31" t="s">
        <v>439</v>
      </c>
      <c r="AS8" s="31" t="s">
        <v>437</v>
      </c>
      <c r="AT8" s="164" t="s">
        <v>364</v>
      </c>
      <c r="AU8" s="31" t="s">
        <v>460</v>
      </c>
      <c r="AV8" s="31" t="s">
        <v>469</v>
      </c>
      <c r="AW8" s="31" t="s">
        <v>471</v>
      </c>
      <c r="AX8" s="22" t="s">
        <v>0</v>
      </c>
      <c r="AY8" s="197" t="s">
        <v>1</v>
      </c>
    </row>
    <row r="9" spans="1:51" ht="18" customHeight="1">
      <c r="A9" s="1">
        <v>1</v>
      </c>
      <c r="B9" s="1" t="s">
        <v>326</v>
      </c>
      <c r="C9" s="1">
        <v>411.9</v>
      </c>
      <c r="D9" s="1">
        <v>0</v>
      </c>
      <c r="E9" s="1">
        <f aca="true" t="shared" si="0" ref="E9:E14">C9+D9</f>
        <v>411.9</v>
      </c>
      <c r="F9" s="2">
        <v>7.69</v>
      </c>
      <c r="G9" s="2">
        <f aca="true" t="shared" si="1" ref="G9:G68">E9*F9</f>
        <v>3167.511</v>
      </c>
      <c r="H9" s="2">
        <f>G9*6</f>
        <v>19005.066</v>
      </c>
      <c r="I9" s="2">
        <f>F9*1</f>
        <v>7.69</v>
      </c>
      <c r="J9" s="2">
        <f>E9*I9</f>
        <v>3167.511</v>
      </c>
      <c r="K9" s="2">
        <f>J9*6</f>
        <v>19005.066</v>
      </c>
      <c r="L9" s="13">
        <f aca="true" t="shared" si="2" ref="L9:L69">H9+K9</f>
        <v>38010.132</v>
      </c>
      <c r="M9" s="139">
        <v>-12063.05</v>
      </c>
      <c r="N9" s="34">
        <f aca="true" t="shared" si="3" ref="N9:N69">L9+M9</f>
        <v>25947.082</v>
      </c>
      <c r="O9" s="152">
        <v>0</v>
      </c>
      <c r="P9" s="152">
        <v>1058.58</v>
      </c>
      <c r="Q9" s="1">
        <v>0</v>
      </c>
      <c r="R9" s="1">
        <v>1058.58</v>
      </c>
      <c r="S9" s="1">
        <v>0</v>
      </c>
      <c r="T9" s="1">
        <v>1058.58</v>
      </c>
      <c r="U9" s="33">
        <v>0</v>
      </c>
      <c r="V9" s="33">
        <v>1638.58</v>
      </c>
      <c r="W9" s="1">
        <v>0</v>
      </c>
      <c r="X9" s="1">
        <v>1058.58</v>
      </c>
      <c r="Y9" s="1">
        <v>0</v>
      </c>
      <c r="Z9" s="1">
        <v>1058.58</v>
      </c>
      <c r="AA9" s="33">
        <v>0</v>
      </c>
      <c r="AB9" s="33">
        <v>1058.58</v>
      </c>
      <c r="AC9" s="33">
        <v>0</v>
      </c>
      <c r="AD9" s="33">
        <v>1058.58</v>
      </c>
      <c r="AE9" s="33">
        <v>0</v>
      </c>
      <c r="AF9" s="33">
        <v>1058.58</v>
      </c>
      <c r="AG9" s="1">
        <v>0</v>
      </c>
      <c r="AH9" s="1">
        <v>2218.99</v>
      </c>
      <c r="AI9" s="1">
        <v>0</v>
      </c>
      <c r="AJ9" s="1">
        <v>1058.58</v>
      </c>
      <c r="AK9" s="1">
        <v>0</v>
      </c>
      <c r="AL9" s="1">
        <v>1058.58</v>
      </c>
      <c r="AM9" s="9">
        <f>O9+Q9+S9+U9+W9+Y9+AA9+AC9+AE9+AG9+AI9+AK9</f>
        <v>0</v>
      </c>
      <c r="AN9" s="9">
        <f>P9+R9+T9+V9+X9+Z9+AB9+AD9+AF9+AH9+AJ9+AL9</f>
        <v>14443.369999999999</v>
      </c>
      <c r="AO9" s="248">
        <f>AM9+AN9</f>
        <v>14443.369999999999</v>
      </c>
      <c r="AP9" s="10"/>
      <c r="AQ9" s="10"/>
      <c r="AR9" s="10"/>
      <c r="AS9" s="10"/>
      <c r="AT9" s="163">
        <f>AO9+AP9+AQ9+AR9+AS9</f>
        <v>14443.369999999999</v>
      </c>
      <c r="AU9" s="2"/>
      <c r="AV9" s="2"/>
      <c r="AW9" s="168"/>
      <c r="AX9" s="21">
        <f aca="true" t="shared" si="4" ref="AX9:AX72">N9-AT9+AU9+AV9+AW9</f>
        <v>11503.712</v>
      </c>
      <c r="AY9" s="26">
        <f>533694.91+24810.47</f>
        <v>558505.38</v>
      </c>
    </row>
    <row r="10" spans="1:51" ht="15.75">
      <c r="A10" s="1">
        <v>2</v>
      </c>
      <c r="B10" s="1" t="s">
        <v>35</v>
      </c>
      <c r="C10" s="1">
        <v>3409.4</v>
      </c>
      <c r="D10" s="1">
        <v>0</v>
      </c>
      <c r="E10" s="1">
        <f t="shared" si="0"/>
        <v>3409.4</v>
      </c>
      <c r="F10" s="2">
        <v>14.96</v>
      </c>
      <c r="G10" s="2">
        <f t="shared" si="1"/>
        <v>51004.624</v>
      </c>
      <c r="H10" s="2">
        <f aca="true" t="shared" si="5" ref="H10:H69">G10*6</f>
        <v>306027.744</v>
      </c>
      <c r="I10" s="2">
        <f aca="true" t="shared" si="6" ref="I10:I73">F10*1</f>
        <v>14.96</v>
      </c>
      <c r="J10" s="2">
        <f aca="true" t="shared" si="7" ref="J10:J70">E10*I10</f>
        <v>51004.624</v>
      </c>
      <c r="K10" s="2">
        <f aca="true" t="shared" si="8" ref="K10:K69">J10*6</f>
        <v>306027.744</v>
      </c>
      <c r="L10" s="13">
        <f t="shared" si="2"/>
        <v>612055.488</v>
      </c>
      <c r="M10" s="139">
        <v>-369375.62</v>
      </c>
      <c r="N10" s="34">
        <f t="shared" si="3"/>
        <v>242679.86800000002</v>
      </c>
      <c r="O10" s="152">
        <v>0</v>
      </c>
      <c r="P10" s="152">
        <v>57277.91</v>
      </c>
      <c r="Q10" s="1">
        <v>0</v>
      </c>
      <c r="R10" s="1">
        <v>28031.09</v>
      </c>
      <c r="S10" s="1">
        <v>0</v>
      </c>
      <c r="T10" s="1">
        <v>68162.01</v>
      </c>
      <c r="U10" s="33">
        <v>0</v>
      </c>
      <c r="V10" s="33">
        <v>25028.72</v>
      </c>
      <c r="W10" s="1">
        <v>0</v>
      </c>
      <c r="X10" s="1">
        <v>24665.95</v>
      </c>
      <c r="Y10" s="1">
        <v>0</v>
      </c>
      <c r="Z10" s="1">
        <v>25092.88</v>
      </c>
      <c r="AA10" s="33">
        <v>0</v>
      </c>
      <c r="AB10" s="33">
        <v>26108.4</v>
      </c>
      <c r="AC10" s="33">
        <v>0</v>
      </c>
      <c r="AD10" s="33">
        <v>43327.17</v>
      </c>
      <c r="AE10" s="33">
        <v>0</v>
      </c>
      <c r="AF10" s="33">
        <v>41717.22</v>
      </c>
      <c r="AG10" s="1">
        <v>0</v>
      </c>
      <c r="AH10" s="1">
        <v>32958.15</v>
      </c>
      <c r="AI10" s="1">
        <v>0</v>
      </c>
      <c r="AJ10" s="1">
        <v>29772.85</v>
      </c>
      <c r="AK10" s="1">
        <v>0</v>
      </c>
      <c r="AL10" s="1">
        <v>26047.45</v>
      </c>
      <c r="AM10" s="9">
        <f aca="true" t="shared" si="9" ref="AM10:AM69">O10+Q10+S10+U10+W10+Y10+AA10+AC10+AE10+AG10+AI10+AK10</f>
        <v>0</v>
      </c>
      <c r="AN10" s="9">
        <f aca="true" t="shared" si="10" ref="AN10:AN69">P10+R10+T10+V10+X10+Z10+AB10+AD10+AF10+AH10+AJ10+AL10</f>
        <v>428189.8</v>
      </c>
      <c r="AO10" s="248">
        <f aca="true" t="shared" si="11" ref="AO10:AO69">AM10+AN10</f>
        <v>428189.8</v>
      </c>
      <c r="AP10" s="10"/>
      <c r="AQ10" s="10">
        <f>(124217.72-2449.07)+10728</f>
        <v>132496.65</v>
      </c>
      <c r="AR10" s="10">
        <v>1738.21</v>
      </c>
      <c r="AS10" s="10"/>
      <c r="AT10" s="163">
        <f aca="true" t="shared" si="12" ref="AT10:AT72">AO10+AP10+AQ10+AR10+AS10</f>
        <v>562424.6599999999</v>
      </c>
      <c r="AU10" s="2"/>
      <c r="AV10" s="2"/>
      <c r="AW10" s="168">
        <v>4128</v>
      </c>
      <c r="AX10" s="21">
        <f t="shared" si="4"/>
        <v>-315616.7919999999</v>
      </c>
      <c r="AY10" s="26">
        <v>419818.64</v>
      </c>
    </row>
    <row r="11" spans="1:51" ht="15.75" customHeight="1">
      <c r="A11" s="1">
        <v>3</v>
      </c>
      <c r="B11" s="1" t="s">
        <v>312</v>
      </c>
      <c r="C11" s="1">
        <v>527.4</v>
      </c>
      <c r="D11" s="1">
        <v>0</v>
      </c>
      <c r="E11" s="1">
        <f t="shared" si="0"/>
        <v>527.4</v>
      </c>
      <c r="F11" s="2">
        <v>7.69</v>
      </c>
      <c r="G11" s="2">
        <f t="shared" si="1"/>
        <v>4055.706</v>
      </c>
      <c r="H11" s="2">
        <f t="shared" si="5"/>
        <v>24334.236</v>
      </c>
      <c r="I11" s="2">
        <f t="shared" si="6"/>
        <v>7.69</v>
      </c>
      <c r="J11" s="2">
        <f t="shared" si="7"/>
        <v>4055.706</v>
      </c>
      <c r="K11" s="2">
        <f t="shared" si="8"/>
        <v>24334.236</v>
      </c>
      <c r="L11" s="13">
        <f t="shared" si="2"/>
        <v>48668.472</v>
      </c>
      <c r="M11" s="139"/>
      <c r="N11" s="34">
        <f t="shared" si="3"/>
        <v>48668.472</v>
      </c>
      <c r="O11" s="152">
        <v>0</v>
      </c>
      <c r="P11" s="152">
        <v>1355.42</v>
      </c>
      <c r="Q11" s="1">
        <v>0</v>
      </c>
      <c r="R11" s="1">
        <v>1355.42</v>
      </c>
      <c r="S11" s="1">
        <v>0</v>
      </c>
      <c r="T11" s="1">
        <v>1355.42</v>
      </c>
      <c r="U11" s="33">
        <v>0</v>
      </c>
      <c r="V11" s="33">
        <v>1935.42</v>
      </c>
      <c r="W11" s="1">
        <v>0</v>
      </c>
      <c r="X11" s="1">
        <v>1355.42</v>
      </c>
      <c r="Y11" s="1">
        <v>0</v>
      </c>
      <c r="Z11" s="1">
        <v>1355.42</v>
      </c>
      <c r="AA11" s="33">
        <v>0</v>
      </c>
      <c r="AB11" s="33">
        <v>1355.42</v>
      </c>
      <c r="AC11" s="33">
        <v>0</v>
      </c>
      <c r="AD11" s="33">
        <v>1355.42</v>
      </c>
      <c r="AE11" s="33">
        <v>0</v>
      </c>
      <c r="AF11" s="33">
        <v>1355.42</v>
      </c>
      <c r="AG11" s="1">
        <v>0</v>
      </c>
      <c r="AH11" s="1">
        <v>1991.08</v>
      </c>
      <c r="AI11" s="1">
        <v>0</v>
      </c>
      <c r="AJ11" s="1">
        <v>1355.42</v>
      </c>
      <c r="AK11" s="1">
        <v>0</v>
      </c>
      <c r="AL11" s="1">
        <v>1355.42</v>
      </c>
      <c r="AM11" s="9">
        <f t="shared" si="9"/>
        <v>0</v>
      </c>
      <c r="AN11" s="9">
        <f t="shared" si="10"/>
        <v>17480.7</v>
      </c>
      <c r="AO11" s="248">
        <f t="shared" si="11"/>
        <v>17480.7</v>
      </c>
      <c r="AP11" s="10"/>
      <c r="AQ11" s="10"/>
      <c r="AR11" s="10"/>
      <c r="AS11" s="10"/>
      <c r="AT11" s="163">
        <f t="shared" si="12"/>
        <v>17480.7</v>
      </c>
      <c r="AU11" s="2"/>
      <c r="AV11" s="2"/>
      <c r="AW11" s="168"/>
      <c r="AX11" s="21">
        <f t="shared" si="4"/>
        <v>31187.772</v>
      </c>
      <c r="AY11" s="26">
        <f>261898.06+74950.16</f>
        <v>336848.22</v>
      </c>
    </row>
    <row r="12" spans="1:78" s="18" customFormat="1" ht="15.75">
      <c r="A12" s="1">
        <v>4</v>
      </c>
      <c r="B12" s="1" t="s">
        <v>313</v>
      </c>
      <c r="C12" s="1">
        <v>534</v>
      </c>
      <c r="D12" s="1">
        <v>0</v>
      </c>
      <c r="E12" s="1">
        <f t="shared" si="0"/>
        <v>534</v>
      </c>
      <c r="F12" s="2">
        <v>8.39</v>
      </c>
      <c r="G12" s="2">
        <f t="shared" si="1"/>
        <v>4480.26</v>
      </c>
      <c r="H12" s="2">
        <f t="shared" si="5"/>
        <v>26881.56</v>
      </c>
      <c r="I12" s="2">
        <f t="shared" si="6"/>
        <v>8.39</v>
      </c>
      <c r="J12" s="2">
        <f t="shared" si="7"/>
        <v>4480.26</v>
      </c>
      <c r="K12" s="2">
        <f t="shared" si="8"/>
        <v>26881.56</v>
      </c>
      <c r="L12" s="13">
        <f t="shared" si="2"/>
        <v>53763.12</v>
      </c>
      <c r="M12" s="139">
        <v>-514013.88</v>
      </c>
      <c r="N12" s="34">
        <f t="shared" si="3"/>
        <v>-460250.76</v>
      </c>
      <c r="O12" s="152">
        <v>0</v>
      </c>
      <c r="P12" s="152">
        <v>4367.07</v>
      </c>
      <c r="Q12" s="1">
        <v>0</v>
      </c>
      <c r="R12" s="1">
        <v>3353.17</v>
      </c>
      <c r="S12" s="1">
        <v>0</v>
      </c>
      <c r="T12" s="1">
        <v>1372.38</v>
      </c>
      <c r="U12" s="33">
        <v>0</v>
      </c>
      <c r="V12" s="33">
        <v>1952.38</v>
      </c>
      <c r="W12" s="1">
        <v>0</v>
      </c>
      <c r="X12" s="1">
        <v>1372.38</v>
      </c>
      <c r="Y12" s="1">
        <v>0</v>
      </c>
      <c r="Z12" s="1">
        <v>1372.38</v>
      </c>
      <c r="AA12" s="33">
        <v>0</v>
      </c>
      <c r="AB12" s="33">
        <v>1372.38</v>
      </c>
      <c r="AC12" s="33">
        <v>0</v>
      </c>
      <c r="AD12" s="33">
        <v>1372.38</v>
      </c>
      <c r="AE12" s="33">
        <v>0</v>
      </c>
      <c r="AF12" s="33">
        <v>1372.38</v>
      </c>
      <c r="AG12" s="1">
        <v>0</v>
      </c>
      <c r="AH12" s="1">
        <v>2008.04</v>
      </c>
      <c r="AI12" s="1">
        <v>0</v>
      </c>
      <c r="AJ12" s="1">
        <v>1372.38</v>
      </c>
      <c r="AK12" s="1">
        <v>0</v>
      </c>
      <c r="AL12" s="1">
        <v>1372.38</v>
      </c>
      <c r="AM12" s="9">
        <f t="shared" si="9"/>
        <v>0</v>
      </c>
      <c r="AN12" s="9">
        <f t="shared" si="10"/>
        <v>22659.700000000008</v>
      </c>
      <c r="AO12" s="248">
        <f t="shared" si="11"/>
        <v>22659.700000000008</v>
      </c>
      <c r="AP12" s="10"/>
      <c r="AQ12" s="10"/>
      <c r="AR12" s="10"/>
      <c r="AS12" s="10"/>
      <c r="AT12" s="163">
        <f t="shared" si="12"/>
        <v>22659.700000000008</v>
      </c>
      <c r="AU12" s="2"/>
      <c r="AV12" s="2"/>
      <c r="AW12" s="168"/>
      <c r="AX12" s="21">
        <f t="shared" si="4"/>
        <v>-482910.46</v>
      </c>
      <c r="AY12" s="26">
        <f>124693.83+29499.45</f>
        <v>154193.28</v>
      </c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</row>
    <row r="13" spans="1:51" ht="15.75">
      <c r="A13" s="1">
        <v>5</v>
      </c>
      <c r="B13" s="1" t="s">
        <v>314</v>
      </c>
      <c r="C13" s="1">
        <v>532.7</v>
      </c>
      <c r="D13" s="1">
        <v>0</v>
      </c>
      <c r="E13" s="1">
        <f t="shared" si="0"/>
        <v>532.7</v>
      </c>
      <c r="F13" s="2">
        <v>9.73</v>
      </c>
      <c r="G13" s="2">
        <f t="shared" si="1"/>
        <v>5183.171</v>
      </c>
      <c r="H13" s="2">
        <f t="shared" si="5"/>
        <v>31099.026</v>
      </c>
      <c r="I13" s="2">
        <f t="shared" si="6"/>
        <v>9.73</v>
      </c>
      <c r="J13" s="2">
        <f t="shared" si="7"/>
        <v>5183.171</v>
      </c>
      <c r="K13" s="2">
        <f t="shared" si="8"/>
        <v>31099.026</v>
      </c>
      <c r="L13" s="13">
        <f t="shared" si="2"/>
        <v>62198.052</v>
      </c>
      <c r="M13" s="139">
        <v>-46115.17</v>
      </c>
      <c r="N13" s="34">
        <f t="shared" si="3"/>
        <v>16082.882000000005</v>
      </c>
      <c r="O13" s="152">
        <v>0</v>
      </c>
      <c r="P13" s="152">
        <v>1369.04</v>
      </c>
      <c r="Q13" s="1">
        <v>0</v>
      </c>
      <c r="R13" s="1">
        <v>1369.04</v>
      </c>
      <c r="S13" s="1">
        <v>0</v>
      </c>
      <c r="T13" s="1">
        <v>1369.04</v>
      </c>
      <c r="U13" s="33">
        <v>0</v>
      </c>
      <c r="V13" s="33">
        <v>1949.04</v>
      </c>
      <c r="W13" s="1">
        <v>0</v>
      </c>
      <c r="X13" s="1">
        <v>1369.04</v>
      </c>
      <c r="Y13" s="1">
        <v>0</v>
      </c>
      <c r="Z13" s="1">
        <v>1369.04</v>
      </c>
      <c r="AA13" s="33">
        <v>0</v>
      </c>
      <c r="AB13" s="33">
        <v>1369.04</v>
      </c>
      <c r="AC13" s="33">
        <v>0</v>
      </c>
      <c r="AD13" s="33">
        <v>1369.04</v>
      </c>
      <c r="AE13" s="33">
        <v>0</v>
      </c>
      <c r="AF13" s="33">
        <v>1369.04</v>
      </c>
      <c r="AG13" s="1">
        <v>0</v>
      </c>
      <c r="AH13" s="1">
        <v>2004.7</v>
      </c>
      <c r="AI13" s="1">
        <v>0</v>
      </c>
      <c r="AJ13" s="1">
        <v>1369.04</v>
      </c>
      <c r="AK13" s="1">
        <v>0</v>
      </c>
      <c r="AL13" s="1">
        <v>1369.04</v>
      </c>
      <c r="AM13" s="9">
        <f t="shared" si="9"/>
        <v>0</v>
      </c>
      <c r="AN13" s="9">
        <f t="shared" si="10"/>
        <v>17644.140000000003</v>
      </c>
      <c r="AO13" s="248">
        <f t="shared" si="11"/>
        <v>17644.140000000003</v>
      </c>
      <c r="AP13" s="10"/>
      <c r="AQ13" s="10"/>
      <c r="AR13" s="10"/>
      <c r="AS13" s="10"/>
      <c r="AT13" s="163">
        <f t="shared" si="12"/>
        <v>17644.140000000003</v>
      </c>
      <c r="AU13" s="2"/>
      <c r="AV13" s="2"/>
      <c r="AW13" s="168"/>
      <c r="AX13" s="21">
        <f t="shared" si="4"/>
        <v>-1561.257999999998</v>
      </c>
      <c r="AY13" s="26">
        <f>13279.29+10143.54</f>
        <v>23422.83</v>
      </c>
    </row>
    <row r="14" spans="1:78" s="18" customFormat="1" ht="15.75">
      <c r="A14" s="1">
        <v>6</v>
      </c>
      <c r="B14" s="1" t="s">
        <v>36</v>
      </c>
      <c r="C14" s="1">
        <v>603</v>
      </c>
      <c r="D14" s="1">
        <v>0</v>
      </c>
      <c r="E14" s="1">
        <f t="shared" si="0"/>
        <v>603</v>
      </c>
      <c r="F14" s="2">
        <v>13.11</v>
      </c>
      <c r="G14" s="2">
        <f t="shared" si="1"/>
        <v>7905.33</v>
      </c>
      <c r="H14" s="2">
        <f t="shared" si="5"/>
        <v>47431.979999999996</v>
      </c>
      <c r="I14" s="2">
        <f t="shared" si="6"/>
        <v>13.11</v>
      </c>
      <c r="J14" s="2">
        <f t="shared" si="7"/>
        <v>7905.33</v>
      </c>
      <c r="K14" s="2">
        <f t="shared" si="8"/>
        <v>47431.979999999996</v>
      </c>
      <c r="L14" s="13">
        <f t="shared" si="2"/>
        <v>94863.95999999999</v>
      </c>
      <c r="M14" s="139"/>
      <c r="N14" s="34">
        <f t="shared" si="3"/>
        <v>94863.95999999999</v>
      </c>
      <c r="O14" s="152">
        <v>0</v>
      </c>
      <c r="P14" s="152">
        <v>1822.39</v>
      </c>
      <c r="Q14" s="1">
        <v>0</v>
      </c>
      <c r="R14" s="1">
        <v>1945.08</v>
      </c>
      <c r="S14" s="1">
        <v>0</v>
      </c>
      <c r="T14" s="1">
        <v>1779.71</v>
      </c>
      <c r="U14" s="33">
        <v>0</v>
      </c>
      <c r="V14" s="33">
        <v>2939.71</v>
      </c>
      <c r="W14" s="1">
        <v>0</v>
      </c>
      <c r="X14" s="1">
        <v>1779.71</v>
      </c>
      <c r="Y14" s="1">
        <v>0</v>
      </c>
      <c r="Z14" s="1">
        <v>1779.71</v>
      </c>
      <c r="AA14" s="33">
        <v>0</v>
      </c>
      <c r="AB14" s="33">
        <v>1779.71</v>
      </c>
      <c r="AC14" s="33">
        <v>0</v>
      </c>
      <c r="AD14" s="33">
        <v>1779.71</v>
      </c>
      <c r="AE14" s="33">
        <v>0</v>
      </c>
      <c r="AF14" s="33">
        <v>9750.71</v>
      </c>
      <c r="AG14" s="1">
        <v>0</v>
      </c>
      <c r="AH14" s="1">
        <v>18824.66</v>
      </c>
      <c r="AI14" s="1">
        <v>0</v>
      </c>
      <c r="AJ14" s="1">
        <v>1779.71</v>
      </c>
      <c r="AK14" s="1">
        <v>0</v>
      </c>
      <c r="AL14" s="1">
        <v>7258.36</v>
      </c>
      <c r="AM14" s="9">
        <f t="shared" si="9"/>
        <v>0</v>
      </c>
      <c r="AN14" s="9">
        <f t="shared" si="10"/>
        <v>53219.16999999999</v>
      </c>
      <c r="AO14" s="248">
        <f t="shared" si="11"/>
        <v>53219.16999999999</v>
      </c>
      <c r="AP14" s="10"/>
      <c r="AQ14" s="10">
        <f>21107.07-6714.69</f>
        <v>14392.380000000001</v>
      </c>
      <c r="AR14" s="10"/>
      <c r="AS14" s="10"/>
      <c r="AT14" s="163">
        <f t="shared" si="12"/>
        <v>67611.54999999999</v>
      </c>
      <c r="AU14" s="2"/>
      <c r="AV14" s="2"/>
      <c r="AW14" s="168">
        <v>13836</v>
      </c>
      <c r="AX14" s="21">
        <f t="shared" si="4"/>
        <v>41088.41</v>
      </c>
      <c r="AY14" s="26">
        <v>214011.15</v>
      </c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</row>
    <row r="15" spans="1:51" ht="15.75" customHeight="1">
      <c r="A15" s="1">
        <v>7</v>
      </c>
      <c r="B15" s="101" t="s">
        <v>464</v>
      </c>
      <c r="C15" s="1">
        <v>338.3</v>
      </c>
      <c r="D15" s="1">
        <v>0</v>
      </c>
      <c r="E15" s="1">
        <v>338.3</v>
      </c>
      <c r="F15" s="2">
        <v>11.88</v>
      </c>
      <c r="G15" s="2">
        <f t="shared" si="1"/>
        <v>4019.0040000000004</v>
      </c>
      <c r="H15" s="143">
        <f>G15*4</f>
        <v>16076.016000000001</v>
      </c>
      <c r="I15" s="143">
        <v>0</v>
      </c>
      <c r="J15" s="143">
        <f t="shared" si="7"/>
        <v>0</v>
      </c>
      <c r="K15" s="143">
        <f t="shared" si="8"/>
        <v>0</v>
      </c>
      <c r="L15" s="13">
        <f t="shared" si="2"/>
        <v>16076.016000000001</v>
      </c>
      <c r="M15" s="139"/>
      <c r="N15" s="34">
        <f t="shared" si="3"/>
        <v>16076.016000000001</v>
      </c>
      <c r="O15" s="152">
        <v>0</v>
      </c>
      <c r="P15" s="152">
        <v>869.43</v>
      </c>
      <c r="Q15" s="1">
        <v>0</v>
      </c>
      <c r="R15" s="1">
        <v>869.43</v>
      </c>
      <c r="S15" s="1">
        <v>0</v>
      </c>
      <c r="T15" s="1">
        <v>869.43</v>
      </c>
      <c r="U15" s="33">
        <v>0</v>
      </c>
      <c r="V15" s="33">
        <v>869.43</v>
      </c>
      <c r="W15" s="183">
        <v>0</v>
      </c>
      <c r="X15" s="183">
        <v>0</v>
      </c>
      <c r="Y15" s="183">
        <v>0</v>
      </c>
      <c r="Z15" s="183">
        <v>0</v>
      </c>
      <c r="AA15" s="184">
        <v>0</v>
      </c>
      <c r="AB15" s="184">
        <v>0</v>
      </c>
      <c r="AC15" s="184">
        <v>0</v>
      </c>
      <c r="AD15" s="184">
        <v>0</v>
      </c>
      <c r="AE15" s="184">
        <v>0</v>
      </c>
      <c r="AF15" s="184">
        <v>0</v>
      </c>
      <c r="AG15" s="183">
        <v>0</v>
      </c>
      <c r="AH15" s="183">
        <v>0</v>
      </c>
      <c r="AI15" s="183">
        <v>0</v>
      </c>
      <c r="AJ15" s="183">
        <v>0</v>
      </c>
      <c r="AK15" s="183">
        <v>0</v>
      </c>
      <c r="AL15" s="183">
        <v>0</v>
      </c>
      <c r="AM15" s="9">
        <f t="shared" si="9"/>
        <v>0</v>
      </c>
      <c r="AN15" s="9">
        <f t="shared" si="10"/>
        <v>3477.72</v>
      </c>
      <c r="AO15" s="248">
        <f t="shared" si="11"/>
        <v>3477.72</v>
      </c>
      <c r="AP15" s="10"/>
      <c r="AQ15" s="10"/>
      <c r="AR15" s="10"/>
      <c r="AS15" s="10"/>
      <c r="AT15" s="163">
        <f t="shared" si="12"/>
        <v>3477.72</v>
      </c>
      <c r="AU15" s="2"/>
      <c r="AV15" s="2"/>
      <c r="AW15" s="168"/>
      <c r="AX15" s="21">
        <f t="shared" si="4"/>
        <v>12598.296000000002</v>
      </c>
      <c r="AY15" s="1">
        <v>122121.75</v>
      </c>
    </row>
    <row r="16" spans="1:51" ht="15.75">
      <c r="A16" s="1">
        <v>8</v>
      </c>
      <c r="B16" s="101" t="s">
        <v>466</v>
      </c>
      <c r="C16" s="1">
        <v>579.8</v>
      </c>
      <c r="D16" s="1">
        <v>0</v>
      </c>
      <c r="E16" s="1">
        <v>579.8</v>
      </c>
      <c r="F16" s="2">
        <v>10.17</v>
      </c>
      <c r="G16" s="2">
        <f t="shared" si="1"/>
        <v>5896.566</v>
      </c>
      <c r="H16" s="2">
        <f t="shared" si="5"/>
        <v>35379.396</v>
      </c>
      <c r="I16" s="143">
        <v>0</v>
      </c>
      <c r="J16" s="143">
        <f t="shared" si="7"/>
        <v>0</v>
      </c>
      <c r="K16" s="143">
        <f t="shared" si="8"/>
        <v>0</v>
      </c>
      <c r="L16" s="13">
        <f t="shared" si="2"/>
        <v>35379.396</v>
      </c>
      <c r="M16" s="139"/>
      <c r="N16" s="34">
        <f t="shared" si="3"/>
        <v>35379.396</v>
      </c>
      <c r="O16" s="152">
        <v>0</v>
      </c>
      <c r="P16" s="152">
        <v>1490.09</v>
      </c>
      <c r="Q16" s="1">
        <v>0</v>
      </c>
      <c r="R16" s="1">
        <v>1490.09</v>
      </c>
      <c r="S16" s="1">
        <v>0</v>
      </c>
      <c r="T16" s="1">
        <v>1490.09</v>
      </c>
      <c r="U16" s="33">
        <v>0</v>
      </c>
      <c r="V16" s="33">
        <v>2070.09</v>
      </c>
      <c r="W16" s="1">
        <v>0</v>
      </c>
      <c r="X16" s="1">
        <v>1490.09</v>
      </c>
      <c r="Y16" s="1">
        <v>0</v>
      </c>
      <c r="Z16" s="1">
        <v>1490.09</v>
      </c>
      <c r="AA16" s="184">
        <v>0</v>
      </c>
      <c r="AB16" s="184">
        <v>0</v>
      </c>
      <c r="AC16" s="184">
        <v>0</v>
      </c>
      <c r="AD16" s="184">
        <v>0</v>
      </c>
      <c r="AE16" s="184">
        <v>0</v>
      </c>
      <c r="AF16" s="184">
        <v>0</v>
      </c>
      <c r="AG16" s="183">
        <v>0</v>
      </c>
      <c r="AH16" s="183">
        <v>0</v>
      </c>
      <c r="AI16" s="183">
        <v>0</v>
      </c>
      <c r="AJ16" s="183">
        <v>0</v>
      </c>
      <c r="AK16" s="183">
        <v>0</v>
      </c>
      <c r="AL16" s="183">
        <v>0</v>
      </c>
      <c r="AM16" s="9">
        <f t="shared" si="9"/>
        <v>0</v>
      </c>
      <c r="AN16" s="9">
        <f t="shared" si="10"/>
        <v>9520.539999999999</v>
      </c>
      <c r="AO16" s="248">
        <f t="shared" si="11"/>
        <v>9520.539999999999</v>
      </c>
      <c r="AP16" s="10"/>
      <c r="AQ16" s="10"/>
      <c r="AR16" s="10"/>
      <c r="AS16" s="10"/>
      <c r="AT16" s="163">
        <f t="shared" si="12"/>
        <v>9520.539999999999</v>
      </c>
      <c r="AU16" s="2"/>
      <c r="AV16" s="2"/>
      <c r="AW16" s="168"/>
      <c r="AX16" s="21">
        <f t="shared" si="4"/>
        <v>25858.856</v>
      </c>
      <c r="AY16" s="1">
        <v>166645.03</v>
      </c>
    </row>
    <row r="17" spans="1:51" ht="15.75" customHeight="1">
      <c r="A17" s="1">
        <v>9</v>
      </c>
      <c r="B17" s="1" t="s">
        <v>37</v>
      </c>
      <c r="C17" s="1">
        <v>407.7</v>
      </c>
      <c r="D17" s="1">
        <v>0</v>
      </c>
      <c r="E17" s="1">
        <f aca="true" t="shared" si="13" ref="E17:E24">C17+D17</f>
        <v>407.7</v>
      </c>
      <c r="F17" s="2">
        <v>13.03</v>
      </c>
      <c r="G17" s="2">
        <f t="shared" si="1"/>
        <v>5312.330999999999</v>
      </c>
      <c r="H17" s="2">
        <f t="shared" si="5"/>
        <v>31873.985999999997</v>
      </c>
      <c r="I17" s="2">
        <f t="shared" si="6"/>
        <v>13.03</v>
      </c>
      <c r="J17" s="2">
        <f t="shared" si="7"/>
        <v>5312.330999999999</v>
      </c>
      <c r="K17" s="2">
        <f t="shared" si="8"/>
        <v>31873.985999999997</v>
      </c>
      <c r="L17" s="13">
        <f t="shared" si="2"/>
        <v>63747.971999999994</v>
      </c>
      <c r="M17" s="139"/>
      <c r="N17" s="34">
        <f t="shared" si="3"/>
        <v>63747.971999999994</v>
      </c>
      <c r="O17" s="152">
        <v>0</v>
      </c>
      <c r="P17" s="152">
        <v>1047.02</v>
      </c>
      <c r="Q17" s="1">
        <v>0</v>
      </c>
      <c r="R17" s="1">
        <v>1047.02</v>
      </c>
      <c r="S17" s="1">
        <v>0</v>
      </c>
      <c r="T17" s="1">
        <v>1047.02</v>
      </c>
      <c r="U17" s="33">
        <v>0</v>
      </c>
      <c r="V17" s="33">
        <v>1627.02</v>
      </c>
      <c r="W17" s="1">
        <v>5656.47</v>
      </c>
      <c r="X17" s="1">
        <v>1047.02</v>
      </c>
      <c r="Y17" s="1">
        <v>0</v>
      </c>
      <c r="Z17" s="1">
        <v>1047.02</v>
      </c>
      <c r="AA17" s="33">
        <v>1537.1</v>
      </c>
      <c r="AB17" s="33">
        <v>1047.02</v>
      </c>
      <c r="AC17" s="33">
        <v>0</v>
      </c>
      <c r="AD17" s="33">
        <v>1047.02</v>
      </c>
      <c r="AE17" s="33">
        <v>0</v>
      </c>
      <c r="AF17" s="33">
        <v>1047.02</v>
      </c>
      <c r="AG17" s="1">
        <v>0</v>
      </c>
      <c r="AH17" s="1">
        <v>1682.68</v>
      </c>
      <c r="AI17" s="1">
        <v>0</v>
      </c>
      <c r="AJ17" s="1">
        <v>1047.02</v>
      </c>
      <c r="AK17" s="1">
        <v>0</v>
      </c>
      <c r="AL17" s="1">
        <v>1047.02</v>
      </c>
      <c r="AM17" s="9">
        <f t="shared" si="9"/>
        <v>7193.57</v>
      </c>
      <c r="AN17" s="9">
        <f t="shared" si="10"/>
        <v>13779.900000000003</v>
      </c>
      <c r="AO17" s="248">
        <f t="shared" si="11"/>
        <v>20973.47</v>
      </c>
      <c r="AP17" s="10"/>
      <c r="AQ17" s="10"/>
      <c r="AR17" s="10"/>
      <c r="AS17" s="10"/>
      <c r="AT17" s="163">
        <f t="shared" si="12"/>
        <v>20973.47</v>
      </c>
      <c r="AU17" s="2"/>
      <c r="AV17" s="2"/>
      <c r="AW17" s="168"/>
      <c r="AX17" s="21">
        <f t="shared" si="4"/>
        <v>42774.50199999999</v>
      </c>
      <c r="AY17" s="26">
        <f>136490.06+75863.74</f>
        <v>212353.8</v>
      </c>
    </row>
    <row r="18" spans="1:51" ht="15.75" customHeight="1">
      <c r="A18" s="1">
        <v>10</v>
      </c>
      <c r="B18" s="1" t="s">
        <v>38</v>
      </c>
      <c r="C18" s="1">
        <v>3416.9</v>
      </c>
      <c r="D18" s="1">
        <v>118</v>
      </c>
      <c r="E18" s="1">
        <f t="shared" si="13"/>
        <v>3534.9</v>
      </c>
      <c r="F18" s="2">
        <v>14.32</v>
      </c>
      <c r="G18" s="2">
        <f t="shared" si="1"/>
        <v>50619.768000000004</v>
      </c>
      <c r="H18" s="2">
        <f t="shared" si="5"/>
        <v>303718.608</v>
      </c>
      <c r="I18" s="2">
        <f t="shared" si="6"/>
        <v>14.32</v>
      </c>
      <c r="J18" s="2">
        <f t="shared" si="7"/>
        <v>50619.768000000004</v>
      </c>
      <c r="K18" s="2">
        <f t="shared" si="8"/>
        <v>303718.608</v>
      </c>
      <c r="L18" s="13">
        <f t="shared" si="2"/>
        <v>607437.216</v>
      </c>
      <c r="M18" s="139"/>
      <c r="N18" s="34">
        <f t="shared" si="3"/>
        <v>607437.216</v>
      </c>
      <c r="O18" s="152">
        <v>6503.66</v>
      </c>
      <c r="P18" s="152">
        <v>18097.74</v>
      </c>
      <c r="Q18" s="1">
        <v>16270.11</v>
      </c>
      <c r="R18" s="1">
        <v>9083.92</v>
      </c>
      <c r="S18" s="1">
        <v>100705.86</v>
      </c>
      <c r="T18" s="1">
        <v>13533.63</v>
      </c>
      <c r="U18" s="33">
        <v>10365.78</v>
      </c>
      <c r="V18" s="33">
        <v>52892.19</v>
      </c>
      <c r="W18" s="1">
        <v>25197.64</v>
      </c>
      <c r="X18" s="1">
        <v>9083.92</v>
      </c>
      <c r="Y18" s="1">
        <v>15711.88</v>
      </c>
      <c r="Z18" s="1">
        <v>9083.92</v>
      </c>
      <c r="AA18" s="33">
        <v>21979.85</v>
      </c>
      <c r="AB18" s="33">
        <v>37602.29</v>
      </c>
      <c r="AC18" s="33">
        <v>44636.32</v>
      </c>
      <c r="AD18" s="33">
        <v>34144.66</v>
      </c>
      <c r="AE18" s="33">
        <v>18248.13</v>
      </c>
      <c r="AF18" s="33">
        <v>23753.62</v>
      </c>
      <c r="AG18" s="1">
        <v>3277.59</v>
      </c>
      <c r="AH18" s="1">
        <v>-14496.41</v>
      </c>
      <c r="AI18" s="1">
        <v>7482.46</v>
      </c>
      <c r="AJ18" s="1">
        <v>15379.21</v>
      </c>
      <c r="AK18" s="1">
        <v>7727.26</v>
      </c>
      <c r="AL18" s="1">
        <v>9313.92</v>
      </c>
      <c r="AM18" s="9">
        <f t="shared" si="9"/>
        <v>278106.54000000004</v>
      </c>
      <c r="AN18" s="9">
        <f t="shared" si="10"/>
        <v>217472.61000000002</v>
      </c>
      <c r="AO18" s="248">
        <f t="shared" si="11"/>
        <v>495579.15</v>
      </c>
      <c r="AP18" s="10"/>
      <c r="AQ18" s="10"/>
      <c r="AR18" s="10"/>
      <c r="AS18" s="10"/>
      <c r="AT18" s="163">
        <f t="shared" si="12"/>
        <v>495579.15</v>
      </c>
      <c r="AU18" s="2"/>
      <c r="AV18" s="2"/>
      <c r="AW18" s="168">
        <v>2408</v>
      </c>
      <c r="AX18" s="21">
        <f t="shared" si="4"/>
        <v>114266.06599999999</v>
      </c>
      <c r="AY18" s="26">
        <v>180094.14</v>
      </c>
    </row>
    <row r="19" spans="1:51" ht="15.75" customHeight="1">
      <c r="A19" s="1">
        <v>11</v>
      </c>
      <c r="B19" s="1" t="s">
        <v>39</v>
      </c>
      <c r="C19" s="1">
        <v>3278.2</v>
      </c>
      <c r="D19" s="1">
        <v>168.2</v>
      </c>
      <c r="E19" s="1">
        <f t="shared" si="13"/>
        <v>3446.3999999999996</v>
      </c>
      <c r="F19" s="2">
        <v>14.32</v>
      </c>
      <c r="G19" s="2">
        <f t="shared" si="1"/>
        <v>49352.448</v>
      </c>
      <c r="H19" s="2">
        <f t="shared" si="5"/>
        <v>296114.68799999997</v>
      </c>
      <c r="I19" s="2">
        <f t="shared" si="6"/>
        <v>14.32</v>
      </c>
      <c r="J19" s="2">
        <f t="shared" si="7"/>
        <v>49352.448</v>
      </c>
      <c r="K19" s="2">
        <f t="shared" si="8"/>
        <v>296114.68799999997</v>
      </c>
      <c r="L19" s="13">
        <f t="shared" si="2"/>
        <v>592229.3759999999</v>
      </c>
      <c r="M19" s="139"/>
      <c r="N19" s="34">
        <f t="shared" si="3"/>
        <v>592229.3759999999</v>
      </c>
      <c r="O19" s="152">
        <v>6341.01</v>
      </c>
      <c r="P19" s="152">
        <v>9500.16</v>
      </c>
      <c r="Q19" s="1">
        <v>44947.23</v>
      </c>
      <c r="R19" s="1">
        <v>9086.73</v>
      </c>
      <c r="S19" s="1">
        <v>69956.07</v>
      </c>
      <c r="T19" s="1">
        <v>9086.73</v>
      </c>
      <c r="U19" s="33">
        <v>19091.02</v>
      </c>
      <c r="V19" s="33">
        <v>10246.73</v>
      </c>
      <c r="W19" s="1">
        <v>104259.86</v>
      </c>
      <c r="X19" s="1">
        <v>9086.73</v>
      </c>
      <c r="Y19" s="1">
        <v>115150.15</v>
      </c>
      <c r="Z19" s="1">
        <v>9086.73</v>
      </c>
      <c r="AA19" s="33">
        <v>46737.22</v>
      </c>
      <c r="AB19" s="33">
        <v>58430.37</v>
      </c>
      <c r="AC19" s="33">
        <v>13509.1</v>
      </c>
      <c r="AD19" s="33">
        <v>62067.55</v>
      </c>
      <c r="AE19" s="33">
        <v>21848.1</v>
      </c>
      <c r="AF19" s="33">
        <v>9086.73</v>
      </c>
      <c r="AG19" s="1">
        <v>6794.56</v>
      </c>
      <c r="AH19" s="1">
        <v>10247.14</v>
      </c>
      <c r="AI19" s="1">
        <v>6341.01</v>
      </c>
      <c r="AJ19" s="1">
        <v>12028.14</v>
      </c>
      <c r="AK19" s="1">
        <v>7250.32</v>
      </c>
      <c r="AL19" s="1">
        <v>11333.77</v>
      </c>
      <c r="AM19" s="9">
        <f t="shared" si="9"/>
        <v>462225.6499999999</v>
      </c>
      <c r="AN19" s="9">
        <f t="shared" si="10"/>
        <v>219287.50999999998</v>
      </c>
      <c r="AO19" s="248">
        <f t="shared" si="11"/>
        <v>681513.1599999999</v>
      </c>
      <c r="AP19" s="10">
        <v>1868</v>
      </c>
      <c r="AQ19" s="10">
        <f>(282975.76-245301.68)+303715.3+14296+189022.14+9880</f>
        <v>554587.52</v>
      </c>
      <c r="AR19" s="10"/>
      <c r="AS19" s="10"/>
      <c r="AT19" s="163">
        <f t="shared" si="12"/>
        <v>1237968.68</v>
      </c>
      <c r="AU19" s="2"/>
      <c r="AV19" s="2"/>
      <c r="AW19" s="168">
        <v>2408</v>
      </c>
      <c r="AX19" s="21">
        <f t="shared" si="4"/>
        <v>-643331.304</v>
      </c>
      <c r="AY19" s="26">
        <v>192251.73</v>
      </c>
    </row>
    <row r="20" spans="1:51" ht="15.75" customHeight="1">
      <c r="A20" s="1">
        <v>12</v>
      </c>
      <c r="B20" s="1" t="s">
        <v>40</v>
      </c>
      <c r="C20" s="1">
        <v>3371.7</v>
      </c>
      <c r="D20" s="1">
        <v>62.4</v>
      </c>
      <c r="E20" s="1">
        <f t="shared" si="13"/>
        <v>3434.1</v>
      </c>
      <c r="F20" s="2">
        <v>14.32</v>
      </c>
      <c r="G20" s="2">
        <f t="shared" si="1"/>
        <v>49176.312</v>
      </c>
      <c r="H20" s="2">
        <f t="shared" si="5"/>
        <v>295057.872</v>
      </c>
      <c r="I20" s="2">
        <f t="shared" si="6"/>
        <v>14.32</v>
      </c>
      <c r="J20" s="2">
        <f t="shared" si="7"/>
        <v>49176.312</v>
      </c>
      <c r="K20" s="2">
        <f t="shared" si="8"/>
        <v>295057.872</v>
      </c>
      <c r="L20" s="13">
        <f t="shared" si="2"/>
        <v>590115.744</v>
      </c>
      <c r="M20" s="139">
        <v>-51292.49</v>
      </c>
      <c r="N20" s="34">
        <f t="shared" si="3"/>
        <v>538823.254</v>
      </c>
      <c r="O20" s="152">
        <v>6318.74</v>
      </c>
      <c r="P20" s="152">
        <v>5537.36</v>
      </c>
      <c r="Q20" s="1">
        <v>7614.74</v>
      </c>
      <c r="R20" s="1">
        <v>9055.64</v>
      </c>
      <c r="S20" s="1">
        <v>181704.54</v>
      </c>
      <c r="T20" s="1">
        <v>9197.68</v>
      </c>
      <c r="U20" s="33">
        <v>14196.2</v>
      </c>
      <c r="V20" s="33">
        <v>10215.64</v>
      </c>
      <c r="W20" s="1">
        <v>13461.67</v>
      </c>
      <c r="X20" s="1">
        <v>9055.64</v>
      </c>
      <c r="Y20" s="1">
        <v>10661.67</v>
      </c>
      <c r="Z20" s="1">
        <v>9055.64</v>
      </c>
      <c r="AA20" s="33">
        <v>14141.99</v>
      </c>
      <c r="AB20" s="33">
        <v>16980.07</v>
      </c>
      <c r="AC20" s="33">
        <v>13461.67</v>
      </c>
      <c r="AD20" s="33">
        <v>14130.19</v>
      </c>
      <c r="AE20" s="33">
        <v>54004.67</v>
      </c>
      <c r="AF20" s="33">
        <v>9055.64</v>
      </c>
      <c r="AG20" s="1">
        <v>1603.36</v>
      </c>
      <c r="AH20" s="1">
        <v>17314.41</v>
      </c>
      <c r="AI20" s="1">
        <v>9122.64</v>
      </c>
      <c r="AJ20" s="1">
        <v>20503.71</v>
      </c>
      <c r="AK20" s="1">
        <v>6318.74</v>
      </c>
      <c r="AL20" s="1">
        <v>9055.64</v>
      </c>
      <c r="AM20" s="9">
        <f t="shared" si="9"/>
        <v>332610.63000000006</v>
      </c>
      <c r="AN20" s="9">
        <f t="shared" si="10"/>
        <v>139157.26</v>
      </c>
      <c r="AO20" s="248">
        <f t="shared" si="11"/>
        <v>471767.8900000001</v>
      </c>
      <c r="AP20" s="10"/>
      <c r="AQ20" s="10">
        <f>(12764-1920.38)+158862.75+200000+10057+25000</f>
        <v>404763.37</v>
      </c>
      <c r="AR20" s="10"/>
      <c r="AS20" s="10"/>
      <c r="AT20" s="163">
        <f t="shared" si="12"/>
        <v>876531.26</v>
      </c>
      <c r="AU20" s="2"/>
      <c r="AV20" s="2"/>
      <c r="AW20" s="168"/>
      <c r="AX20" s="21">
        <f t="shared" si="4"/>
        <v>-337708.00600000005</v>
      </c>
      <c r="AY20" s="26">
        <v>185754.11</v>
      </c>
    </row>
    <row r="21" spans="1:51" ht="15.75" customHeight="1">
      <c r="A21" s="1">
        <v>13</v>
      </c>
      <c r="B21" s="1" t="s">
        <v>41</v>
      </c>
      <c r="C21" s="1">
        <v>3289.2</v>
      </c>
      <c r="D21" s="1">
        <v>113.1</v>
      </c>
      <c r="E21" s="1">
        <f t="shared" si="13"/>
        <v>3402.2999999999997</v>
      </c>
      <c r="F21" s="2">
        <v>14.32</v>
      </c>
      <c r="G21" s="2">
        <f t="shared" si="1"/>
        <v>48720.935999999994</v>
      </c>
      <c r="H21" s="2">
        <f t="shared" si="5"/>
        <v>292325.616</v>
      </c>
      <c r="I21" s="2">
        <f t="shared" si="6"/>
        <v>14.32</v>
      </c>
      <c r="J21" s="2">
        <f t="shared" si="7"/>
        <v>48720.935999999994</v>
      </c>
      <c r="K21" s="2">
        <f t="shared" si="8"/>
        <v>292325.616</v>
      </c>
      <c r="L21" s="13">
        <f t="shared" si="2"/>
        <v>584651.232</v>
      </c>
      <c r="M21" s="139">
        <v>-16215.3</v>
      </c>
      <c r="N21" s="34">
        <f t="shared" si="3"/>
        <v>568435.9319999999</v>
      </c>
      <c r="O21" s="152">
        <v>6260.23</v>
      </c>
      <c r="P21" s="152">
        <v>8973.91</v>
      </c>
      <c r="Q21" s="1">
        <v>6260.23</v>
      </c>
      <c r="R21" s="1">
        <v>8973.91</v>
      </c>
      <c r="S21" s="1">
        <v>27804.56</v>
      </c>
      <c r="T21" s="1">
        <v>8973.91</v>
      </c>
      <c r="U21" s="33">
        <v>6260.23</v>
      </c>
      <c r="V21" s="33">
        <v>10133.91</v>
      </c>
      <c r="W21" s="1">
        <v>14610.79</v>
      </c>
      <c r="X21" s="1">
        <v>8973.91</v>
      </c>
      <c r="Y21" s="1">
        <v>13337.02</v>
      </c>
      <c r="Z21" s="1">
        <v>8973.91</v>
      </c>
      <c r="AA21" s="33">
        <v>16810.34</v>
      </c>
      <c r="AB21" s="33">
        <v>16898.34</v>
      </c>
      <c r="AC21" s="33">
        <v>15716.52</v>
      </c>
      <c r="AD21" s="33">
        <v>64650.52</v>
      </c>
      <c r="AE21" s="33">
        <v>71517.99</v>
      </c>
      <c r="AF21" s="33">
        <v>57944.47</v>
      </c>
      <c r="AG21" s="1">
        <v>6260.23</v>
      </c>
      <c r="AH21" s="1">
        <v>16874.79</v>
      </c>
      <c r="AI21" s="1">
        <v>6260.23</v>
      </c>
      <c r="AJ21" s="1">
        <v>23458.92</v>
      </c>
      <c r="AK21" s="1">
        <v>6260.23</v>
      </c>
      <c r="AL21" s="1">
        <v>8973.91</v>
      </c>
      <c r="AM21" s="9">
        <f t="shared" si="9"/>
        <v>197358.60000000003</v>
      </c>
      <c r="AN21" s="9">
        <f t="shared" si="10"/>
        <v>243804.41</v>
      </c>
      <c r="AO21" s="248">
        <f t="shared" si="11"/>
        <v>441163.01</v>
      </c>
      <c r="AP21" s="10"/>
      <c r="AQ21" s="10">
        <v>66334.03</v>
      </c>
      <c r="AR21" s="10"/>
      <c r="AS21" s="10"/>
      <c r="AT21" s="163">
        <f t="shared" si="12"/>
        <v>507497.04000000004</v>
      </c>
      <c r="AU21" s="2"/>
      <c r="AV21" s="2"/>
      <c r="AW21" s="168"/>
      <c r="AX21" s="21">
        <f t="shared" si="4"/>
        <v>60938.891999999876</v>
      </c>
      <c r="AY21" s="26">
        <v>161300.66</v>
      </c>
    </row>
    <row r="22" spans="1:51" ht="14.25" customHeight="1">
      <c r="A22" s="1">
        <v>14</v>
      </c>
      <c r="B22" s="1" t="s">
        <v>42</v>
      </c>
      <c r="C22" s="1">
        <v>3401.9</v>
      </c>
      <c r="D22" s="1">
        <v>0</v>
      </c>
      <c r="E22" s="1">
        <f t="shared" si="13"/>
        <v>3401.9</v>
      </c>
      <c r="F22" s="2">
        <v>14.32</v>
      </c>
      <c r="G22" s="2">
        <f t="shared" si="1"/>
        <v>48715.208</v>
      </c>
      <c r="H22" s="2">
        <f t="shared" si="5"/>
        <v>292291.248</v>
      </c>
      <c r="I22" s="2">
        <f t="shared" si="6"/>
        <v>14.32</v>
      </c>
      <c r="J22" s="2">
        <f t="shared" si="7"/>
        <v>48715.208</v>
      </c>
      <c r="K22" s="2">
        <f t="shared" si="8"/>
        <v>292291.248</v>
      </c>
      <c r="L22" s="13">
        <f t="shared" si="2"/>
        <v>584582.496</v>
      </c>
      <c r="M22" s="139"/>
      <c r="N22" s="34">
        <f t="shared" si="3"/>
        <v>584582.496</v>
      </c>
      <c r="O22" s="152">
        <v>6740.59</v>
      </c>
      <c r="P22" s="152">
        <v>8971.6</v>
      </c>
      <c r="Q22" s="1">
        <v>30146.21</v>
      </c>
      <c r="R22" s="1">
        <v>13489.13</v>
      </c>
      <c r="S22" s="1">
        <v>14349.95</v>
      </c>
      <c r="T22" s="1">
        <v>8971.6</v>
      </c>
      <c r="U22" s="33">
        <v>6258.58</v>
      </c>
      <c r="V22" s="33">
        <v>17655.43</v>
      </c>
      <c r="W22" s="1">
        <v>13333.49</v>
      </c>
      <c r="X22" s="1">
        <v>8971.6</v>
      </c>
      <c r="Y22" s="1">
        <v>13333.49</v>
      </c>
      <c r="Z22" s="1">
        <v>14693.76</v>
      </c>
      <c r="AA22" s="33">
        <v>27715.24</v>
      </c>
      <c r="AB22" s="33">
        <v>23981.83</v>
      </c>
      <c r="AC22" s="33">
        <v>95835.85</v>
      </c>
      <c r="AD22" s="33">
        <v>8971.6</v>
      </c>
      <c r="AE22" s="33">
        <v>25708.49</v>
      </c>
      <c r="AF22" s="33">
        <v>8971.6</v>
      </c>
      <c r="AG22" s="1">
        <v>6258.58</v>
      </c>
      <c r="AH22" s="1">
        <v>10132.01</v>
      </c>
      <c r="AI22" s="1">
        <v>6258.58</v>
      </c>
      <c r="AJ22" s="1">
        <v>8971.6</v>
      </c>
      <c r="AK22" s="1">
        <v>6258.58</v>
      </c>
      <c r="AL22" s="1">
        <v>8971.6</v>
      </c>
      <c r="AM22" s="9">
        <f t="shared" si="9"/>
        <v>252197.62999999998</v>
      </c>
      <c r="AN22" s="9">
        <f t="shared" si="10"/>
        <v>142753.36000000002</v>
      </c>
      <c r="AO22" s="248">
        <f t="shared" si="11"/>
        <v>394950.99</v>
      </c>
      <c r="AP22" s="10"/>
      <c r="AQ22" s="10"/>
      <c r="AR22" s="12"/>
      <c r="AS22" s="10"/>
      <c r="AT22" s="163">
        <f t="shared" si="12"/>
        <v>394950.99</v>
      </c>
      <c r="AU22" s="2"/>
      <c r="AV22" s="2"/>
      <c r="AW22" s="168">
        <v>2408</v>
      </c>
      <c r="AX22" s="21">
        <f t="shared" si="4"/>
        <v>192039.50600000005</v>
      </c>
      <c r="AY22" s="26">
        <v>138703.42</v>
      </c>
    </row>
    <row r="23" spans="1:51" ht="15.75" customHeight="1">
      <c r="A23" s="1">
        <v>15</v>
      </c>
      <c r="B23" s="1" t="s">
        <v>43</v>
      </c>
      <c r="C23" s="1">
        <v>6079.9</v>
      </c>
      <c r="D23" s="1">
        <v>0</v>
      </c>
      <c r="E23" s="1">
        <f t="shared" si="13"/>
        <v>6079.9</v>
      </c>
      <c r="F23" s="2">
        <v>14.97</v>
      </c>
      <c r="G23" s="2">
        <f t="shared" si="1"/>
        <v>91016.103</v>
      </c>
      <c r="H23" s="2">
        <f t="shared" si="5"/>
        <v>546096.618</v>
      </c>
      <c r="I23" s="2">
        <f t="shared" si="6"/>
        <v>14.97</v>
      </c>
      <c r="J23" s="2">
        <f t="shared" si="7"/>
        <v>91016.103</v>
      </c>
      <c r="K23" s="2">
        <f t="shared" si="8"/>
        <v>546096.618</v>
      </c>
      <c r="L23" s="13">
        <f t="shared" si="2"/>
        <v>1092193.236</v>
      </c>
      <c r="M23" s="139">
        <v>-930796.11</v>
      </c>
      <c r="N23" s="34">
        <f t="shared" si="3"/>
        <v>161397.12600000005</v>
      </c>
      <c r="O23" s="152">
        <v>31984.77</v>
      </c>
      <c r="P23" s="152">
        <v>77528.36</v>
      </c>
      <c r="Q23" s="1">
        <v>82820.4</v>
      </c>
      <c r="R23" s="1">
        <v>26548.7</v>
      </c>
      <c r="S23" s="1">
        <v>70045.43</v>
      </c>
      <c r="T23" s="1">
        <v>17418.53</v>
      </c>
      <c r="U23" s="33">
        <v>24971.12</v>
      </c>
      <c r="V23" s="33">
        <v>58303.7</v>
      </c>
      <c r="W23" s="1">
        <v>25299.11</v>
      </c>
      <c r="X23" s="1">
        <v>23001.25</v>
      </c>
      <c r="Y23" s="1">
        <v>52877.89</v>
      </c>
      <c r="Z23" s="1">
        <v>34462.78</v>
      </c>
      <c r="AA23" s="33">
        <v>26422.39</v>
      </c>
      <c r="AB23" s="33">
        <v>20783.13</v>
      </c>
      <c r="AC23" s="33">
        <v>81689.57</v>
      </c>
      <c r="AD23" s="33">
        <v>43124.5</v>
      </c>
      <c r="AE23" s="33">
        <v>55332.09</v>
      </c>
      <c r="AF23" s="33">
        <v>34018.68</v>
      </c>
      <c r="AG23" s="1">
        <v>30570.74</v>
      </c>
      <c r="AH23" s="1">
        <v>25087.64</v>
      </c>
      <c r="AI23" s="1">
        <v>49713.9</v>
      </c>
      <c r="AJ23" s="1">
        <v>20714.23</v>
      </c>
      <c r="AK23" s="1">
        <v>67147.16</v>
      </c>
      <c r="AL23" s="1">
        <v>28892.53</v>
      </c>
      <c r="AM23" s="9">
        <f t="shared" si="9"/>
        <v>598874.5700000001</v>
      </c>
      <c r="AN23" s="9">
        <f t="shared" si="10"/>
        <v>409884.0299999999</v>
      </c>
      <c r="AO23" s="248">
        <f t="shared" si="11"/>
        <v>1008758.6</v>
      </c>
      <c r="AP23" s="10">
        <v>13677</v>
      </c>
      <c r="AQ23" s="10">
        <f>103213.51-43954.82</f>
        <v>59258.689999999995</v>
      </c>
      <c r="AR23" s="10"/>
      <c r="AS23" s="10"/>
      <c r="AT23" s="163">
        <f t="shared" si="12"/>
        <v>1081694.29</v>
      </c>
      <c r="AU23" s="2"/>
      <c r="AV23" s="2"/>
      <c r="AW23" s="168">
        <v>6536</v>
      </c>
      <c r="AX23" s="21">
        <f t="shared" si="4"/>
        <v>-913761.164</v>
      </c>
      <c r="AY23" s="26">
        <v>504586.09</v>
      </c>
    </row>
    <row r="24" spans="1:51" ht="15.75" customHeight="1">
      <c r="A24" s="1">
        <v>16</v>
      </c>
      <c r="B24" s="27" t="s">
        <v>365</v>
      </c>
      <c r="C24" s="1">
        <v>4248.8</v>
      </c>
      <c r="D24" s="1">
        <v>0</v>
      </c>
      <c r="E24" s="1">
        <f t="shared" si="13"/>
        <v>4248.8</v>
      </c>
      <c r="F24" s="2">
        <v>14.32</v>
      </c>
      <c r="G24" s="2">
        <f t="shared" si="1"/>
        <v>60842.816000000006</v>
      </c>
      <c r="H24" s="2">
        <f t="shared" si="5"/>
        <v>365056.89600000007</v>
      </c>
      <c r="I24" s="2">
        <f t="shared" si="6"/>
        <v>14.32</v>
      </c>
      <c r="J24" s="2">
        <f t="shared" si="7"/>
        <v>60842.816000000006</v>
      </c>
      <c r="K24" s="2">
        <f t="shared" si="8"/>
        <v>365056.89600000007</v>
      </c>
      <c r="L24" s="13">
        <f t="shared" si="2"/>
        <v>730113.7920000001</v>
      </c>
      <c r="M24" s="139"/>
      <c r="N24" s="34">
        <f t="shared" si="3"/>
        <v>730113.7920000001</v>
      </c>
      <c r="O24" s="152">
        <v>0</v>
      </c>
      <c r="P24" s="152">
        <v>18142.38</v>
      </c>
      <c r="Q24" s="1">
        <v>0</v>
      </c>
      <c r="R24" s="1">
        <v>40826.87</v>
      </c>
      <c r="S24" s="1">
        <v>0</v>
      </c>
      <c r="T24" s="1">
        <v>49777.14</v>
      </c>
      <c r="U24" s="33">
        <v>0</v>
      </c>
      <c r="V24" s="33">
        <v>23837.88</v>
      </c>
      <c r="W24" s="1">
        <v>0</v>
      </c>
      <c r="X24" s="1">
        <v>51625.46</v>
      </c>
      <c r="Y24" s="1">
        <v>0</v>
      </c>
      <c r="Z24" s="1">
        <v>32046.44</v>
      </c>
      <c r="AA24" s="33">
        <v>0</v>
      </c>
      <c r="AB24" s="33">
        <v>30073.48</v>
      </c>
      <c r="AC24" s="33">
        <v>0</v>
      </c>
      <c r="AD24" s="33">
        <v>58323.29</v>
      </c>
      <c r="AE24" s="33">
        <v>0</v>
      </c>
      <c r="AF24" s="33">
        <v>41812.51</v>
      </c>
      <c r="AG24" s="1">
        <v>0</v>
      </c>
      <c r="AH24" s="1">
        <v>19302.79</v>
      </c>
      <c r="AI24" s="1">
        <v>0</v>
      </c>
      <c r="AJ24" s="1">
        <v>19824.45</v>
      </c>
      <c r="AK24" s="1">
        <v>0</v>
      </c>
      <c r="AL24" s="1">
        <v>67036.88</v>
      </c>
      <c r="AM24" s="9">
        <f t="shared" si="9"/>
        <v>0</v>
      </c>
      <c r="AN24" s="9">
        <f t="shared" si="10"/>
        <v>452629.57</v>
      </c>
      <c r="AO24" s="248">
        <f t="shared" si="11"/>
        <v>452629.57</v>
      </c>
      <c r="AP24" s="10"/>
      <c r="AQ24" s="10"/>
      <c r="AR24" s="10"/>
      <c r="AS24" s="10">
        <v>1000</v>
      </c>
      <c r="AT24" s="163">
        <f t="shared" si="12"/>
        <v>453629.57</v>
      </c>
      <c r="AU24" s="2"/>
      <c r="AV24" s="2"/>
      <c r="AW24" s="168">
        <v>13836</v>
      </c>
      <c r="AX24" s="21">
        <f t="shared" si="4"/>
        <v>290320.2220000001</v>
      </c>
      <c r="AY24" s="26">
        <v>369234.26</v>
      </c>
    </row>
    <row r="25" spans="1:51" ht="15.75" customHeight="1">
      <c r="A25" s="1">
        <v>17</v>
      </c>
      <c r="B25" s="1" t="s">
        <v>44</v>
      </c>
      <c r="C25" s="1">
        <v>1325.4</v>
      </c>
      <c r="D25" s="1">
        <v>0</v>
      </c>
      <c r="E25" s="1">
        <f aca="true" t="shared" si="14" ref="E25:E48">C25+D25</f>
        <v>1325.4</v>
      </c>
      <c r="F25" s="2">
        <v>13</v>
      </c>
      <c r="G25" s="2">
        <f t="shared" si="1"/>
        <v>17230.2</v>
      </c>
      <c r="H25" s="2">
        <f t="shared" si="5"/>
        <v>103381.20000000001</v>
      </c>
      <c r="I25" s="2">
        <f t="shared" si="6"/>
        <v>13</v>
      </c>
      <c r="J25" s="2">
        <f t="shared" si="7"/>
        <v>17230.2</v>
      </c>
      <c r="K25" s="2">
        <f t="shared" si="8"/>
        <v>103381.20000000001</v>
      </c>
      <c r="L25" s="13">
        <f t="shared" si="2"/>
        <v>206762.40000000002</v>
      </c>
      <c r="M25" s="139"/>
      <c r="N25" s="34">
        <f t="shared" si="3"/>
        <v>206762.40000000002</v>
      </c>
      <c r="O25" s="152">
        <v>0</v>
      </c>
      <c r="P25" s="152">
        <v>25991.43</v>
      </c>
      <c r="Q25" s="1">
        <v>0</v>
      </c>
      <c r="R25" s="1">
        <v>32296.68</v>
      </c>
      <c r="S25" s="1">
        <v>0</v>
      </c>
      <c r="T25" s="1">
        <v>6364.56</v>
      </c>
      <c r="U25" s="33">
        <v>0</v>
      </c>
      <c r="V25" s="33">
        <v>7049.46</v>
      </c>
      <c r="W25" s="1">
        <v>0</v>
      </c>
      <c r="X25" s="1">
        <v>10913.43</v>
      </c>
      <c r="Y25" s="1">
        <v>0</v>
      </c>
      <c r="Z25" s="1">
        <v>41981.49</v>
      </c>
      <c r="AA25" s="33">
        <v>0</v>
      </c>
      <c r="AB25" s="33">
        <v>33431.54</v>
      </c>
      <c r="AC25" s="33">
        <v>0</v>
      </c>
      <c r="AD25" s="33">
        <v>23507.95</v>
      </c>
      <c r="AE25" s="33">
        <v>0</v>
      </c>
      <c r="AF25" s="33">
        <v>23102.99</v>
      </c>
      <c r="AG25" s="1">
        <v>0</v>
      </c>
      <c r="AH25" s="1">
        <v>7049.87</v>
      </c>
      <c r="AI25" s="1">
        <v>0</v>
      </c>
      <c r="AJ25" s="1">
        <v>12299.95</v>
      </c>
      <c r="AK25" s="1">
        <v>0</v>
      </c>
      <c r="AL25" s="1">
        <v>7657.67</v>
      </c>
      <c r="AM25" s="9">
        <f t="shared" si="9"/>
        <v>0</v>
      </c>
      <c r="AN25" s="9">
        <f t="shared" si="10"/>
        <v>231647.02000000002</v>
      </c>
      <c r="AO25" s="248">
        <f t="shared" si="11"/>
        <v>231647.02000000002</v>
      </c>
      <c r="AP25" s="10"/>
      <c r="AQ25" s="10"/>
      <c r="AR25" s="10"/>
      <c r="AS25" s="10"/>
      <c r="AT25" s="163">
        <f t="shared" si="12"/>
        <v>231647.02000000002</v>
      </c>
      <c r="AU25" s="2"/>
      <c r="AV25" s="2"/>
      <c r="AW25" s="168"/>
      <c r="AX25" s="21">
        <f t="shared" si="4"/>
        <v>-24884.619999999995</v>
      </c>
      <c r="AY25" s="26">
        <v>98441.52</v>
      </c>
    </row>
    <row r="26" spans="1:51" ht="15.75" customHeight="1">
      <c r="A26" s="1">
        <v>18</v>
      </c>
      <c r="B26" s="1" t="s">
        <v>45</v>
      </c>
      <c r="C26" s="1">
        <v>499</v>
      </c>
      <c r="D26" s="1">
        <v>0</v>
      </c>
      <c r="E26" s="1">
        <f t="shared" si="14"/>
        <v>499</v>
      </c>
      <c r="F26" s="2">
        <v>13</v>
      </c>
      <c r="G26" s="2">
        <f t="shared" si="1"/>
        <v>6487</v>
      </c>
      <c r="H26" s="2">
        <f t="shared" si="5"/>
        <v>38922</v>
      </c>
      <c r="I26" s="2">
        <f t="shared" si="6"/>
        <v>13</v>
      </c>
      <c r="J26" s="2">
        <f t="shared" si="7"/>
        <v>6487</v>
      </c>
      <c r="K26" s="2">
        <f t="shared" si="8"/>
        <v>38922</v>
      </c>
      <c r="L26" s="13">
        <f t="shared" si="2"/>
        <v>77844</v>
      </c>
      <c r="M26" s="139">
        <v>-37581.78</v>
      </c>
      <c r="N26" s="34">
        <f t="shared" si="3"/>
        <v>40262.22</v>
      </c>
      <c r="O26" s="152">
        <v>0</v>
      </c>
      <c r="P26" s="152">
        <v>1512.43</v>
      </c>
      <c r="Q26" s="1">
        <v>0</v>
      </c>
      <c r="R26" s="1">
        <v>1512.43</v>
      </c>
      <c r="S26" s="1">
        <v>0</v>
      </c>
      <c r="T26" s="1">
        <v>1987.53</v>
      </c>
      <c r="U26" s="33">
        <v>0</v>
      </c>
      <c r="V26" s="33">
        <v>2672.43</v>
      </c>
      <c r="W26" s="1">
        <v>0</v>
      </c>
      <c r="X26" s="1">
        <v>1512.43</v>
      </c>
      <c r="Y26" s="1">
        <v>0</v>
      </c>
      <c r="Z26" s="1">
        <v>1512.43</v>
      </c>
      <c r="AA26" s="33">
        <v>0</v>
      </c>
      <c r="AB26" s="33">
        <v>2117.93</v>
      </c>
      <c r="AC26" s="33">
        <v>0</v>
      </c>
      <c r="AD26" s="33">
        <v>1512.43</v>
      </c>
      <c r="AE26" s="33">
        <v>0</v>
      </c>
      <c r="AF26" s="33">
        <v>8149.2</v>
      </c>
      <c r="AG26" s="1">
        <v>0</v>
      </c>
      <c r="AH26" s="1">
        <v>2672.84</v>
      </c>
      <c r="AI26" s="1">
        <v>0</v>
      </c>
      <c r="AJ26" s="1">
        <v>1512.43</v>
      </c>
      <c r="AK26" s="1">
        <v>0</v>
      </c>
      <c r="AL26" s="1">
        <v>2728.19</v>
      </c>
      <c r="AM26" s="9">
        <f t="shared" si="9"/>
        <v>0</v>
      </c>
      <c r="AN26" s="9">
        <f t="shared" si="10"/>
        <v>29402.7</v>
      </c>
      <c r="AO26" s="248">
        <f t="shared" si="11"/>
        <v>29402.7</v>
      </c>
      <c r="AP26" s="10"/>
      <c r="AQ26" s="10">
        <f>6027</f>
        <v>6027</v>
      </c>
      <c r="AR26" s="10"/>
      <c r="AS26" s="10"/>
      <c r="AT26" s="163">
        <f t="shared" si="12"/>
        <v>35429.7</v>
      </c>
      <c r="AU26" s="2"/>
      <c r="AV26" s="2"/>
      <c r="AW26" s="168"/>
      <c r="AX26" s="21">
        <f t="shared" si="4"/>
        <v>4832.520000000004</v>
      </c>
      <c r="AY26" s="26">
        <v>7652.92</v>
      </c>
    </row>
    <row r="27" spans="1:51" ht="15.75" customHeight="1">
      <c r="A27" s="1">
        <v>19</v>
      </c>
      <c r="B27" s="1" t="s">
        <v>46</v>
      </c>
      <c r="C27" s="1">
        <v>4618.2</v>
      </c>
      <c r="D27" s="1">
        <v>42.6</v>
      </c>
      <c r="E27" s="1">
        <f t="shared" si="14"/>
        <v>4660.8</v>
      </c>
      <c r="F27" s="2">
        <v>14.27</v>
      </c>
      <c r="G27" s="2">
        <f t="shared" si="1"/>
        <v>66509.616</v>
      </c>
      <c r="H27" s="2">
        <f t="shared" si="5"/>
        <v>399057.696</v>
      </c>
      <c r="I27" s="2">
        <f t="shared" si="6"/>
        <v>14.27</v>
      </c>
      <c r="J27" s="2">
        <f t="shared" si="7"/>
        <v>66509.616</v>
      </c>
      <c r="K27" s="2">
        <f t="shared" si="8"/>
        <v>399057.696</v>
      </c>
      <c r="L27" s="13">
        <f t="shared" si="2"/>
        <v>798115.392</v>
      </c>
      <c r="M27" s="139"/>
      <c r="N27" s="34">
        <f t="shared" si="3"/>
        <v>798115.392</v>
      </c>
      <c r="O27" s="152">
        <v>0</v>
      </c>
      <c r="P27" s="152">
        <v>103554.39</v>
      </c>
      <c r="Q27" s="1">
        <v>0</v>
      </c>
      <c r="R27" s="1">
        <v>21017.22</v>
      </c>
      <c r="S27" s="1">
        <v>0</v>
      </c>
      <c r="T27" s="1">
        <v>21258.22</v>
      </c>
      <c r="U27" s="33">
        <v>0</v>
      </c>
      <c r="V27" s="33">
        <v>103839.56</v>
      </c>
      <c r="W27" s="1">
        <v>0</v>
      </c>
      <c r="X27" s="1">
        <v>35461.09</v>
      </c>
      <c r="Y27" s="1">
        <v>0</v>
      </c>
      <c r="Z27" s="1">
        <v>232451.81</v>
      </c>
      <c r="AA27" s="33">
        <v>0</v>
      </c>
      <c r="AB27" s="33">
        <v>93647.4</v>
      </c>
      <c r="AC27" s="33">
        <v>0</v>
      </c>
      <c r="AD27" s="33">
        <v>48153.84</v>
      </c>
      <c r="AE27" s="33">
        <v>0</v>
      </c>
      <c r="AF27" s="33">
        <v>107074.01</v>
      </c>
      <c r="AG27" s="1">
        <v>0</v>
      </c>
      <c r="AH27" s="1">
        <v>30086.36</v>
      </c>
      <c r="AI27" s="1">
        <v>0</v>
      </c>
      <c r="AJ27" s="1">
        <v>31885.65</v>
      </c>
      <c r="AK27" s="1">
        <v>0</v>
      </c>
      <c r="AL27" s="1">
        <v>24378.96</v>
      </c>
      <c r="AM27" s="9">
        <f t="shared" si="9"/>
        <v>0</v>
      </c>
      <c r="AN27" s="9">
        <f t="shared" si="10"/>
        <v>852808.5099999999</v>
      </c>
      <c r="AO27" s="248">
        <f t="shared" si="11"/>
        <v>852808.5099999999</v>
      </c>
      <c r="AP27" s="10"/>
      <c r="AQ27" s="10">
        <v>20700</v>
      </c>
      <c r="AR27" s="10"/>
      <c r="AS27" s="10">
        <v>1000</v>
      </c>
      <c r="AT27" s="163">
        <f t="shared" si="12"/>
        <v>874508.5099999999</v>
      </c>
      <c r="AU27" s="2"/>
      <c r="AV27" s="2"/>
      <c r="AW27" s="168"/>
      <c r="AX27" s="21">
        <f t="shared" si="4"/>
        <v>-76393.1179999999</v>
      </c>
      <c r="AY27" s="26">
        <v>139055.88</v>
      </c>
    </row>
    <row r="28" spans="1:51" ht="15.75" customHeight="1">
      <c r="A28" s="1">
        <v>20</v>
      </c>
      <c r="B28" s="1" t="s">
        <v>47</v>
      </c>
      <c r="C28" s="1">
        <v>500.6</v>
      </c>
      <c r="D28" s="1">
        <v>0</v>
      </c>
      <c r="E28" s="1">
        <f t="shared" si="14"/>
        <v>500.6</v>
      </c>
      <c r="F28" s="2">
        <v>13</v>
      </c>
      <c r="G28" s="2">
        <f t="shared" si="1"/>
        <v>6507.8</v>
      </c>
      <c r="H28" s="2">
        <f t="shared" si="5"/>
        <v>39046.8</v>
      </c>
      <c r="I28" s="2">
        <f t="shared" si="6"/>
        <v>13</v>
      </c>
      <c r="J28" s="2">
        <f t="shared" si="7"/>
        <v>6507.8</v>
      </c>
      <c r="K28" s="2">
        <f t="shared" si="8"/>
        <v>39046.8</v>
      </c>
      <c r="L28" s="13">
        <f t="shared" si="2"/>
        <v>78093.6</v>
      </c>
      <c r="M28" s="139"/>
      <c r="N28" s="34">
        <f t="shared" si="3"/>
        <v>78093.6</v>
      </c>
      <c r="O28" s="152">
        <v>0</v>
      </c>
      <c r="P28" s="152">
        <v>2367.56</v>
      </c>
      <c r="Q28" s="1">
        <v>0</v>
      </c>
      <c r="R28" s="1">
        <v>2367.56</v>
      </c>
      <c r="S28" s="1">
        <v>0</v>
      </c>
      <c r="T28" s="1">
        <v>5103.52</v>
      </c>
      <c r="U28" s="33">
        <v>0</v>
      </c>
      <c r="V28" s="33">
        <v>3527.56</v>
      </c>
      <c r="W28" s="1">
        <v>0</v>
      </c>
      <c r="X28" s="1">
        <v>82038.44</v>
      </c>
      <c r="Y28" s="1">
        <v>0</v>
      </c>
      <c r="Z28" s="1">
        <v>3098.44</v>
      </c>
      <c r="AA28" s="33">
        <v>0</v>
      </c>
      <c r="AB28" s="33">
        <v>3700.44</v>
      </c>
      <c r="AC28" s="33">
        <v>0</v>
      </c>
      <c r="AD28" s="33">
        <v>5584.26</v>
      </c>
      <c r="AE28" s="33">
        <v>0</v>
      </c>
      <c r="AF28" s="33">
        <v>3098.44</v>
      </c>
      <c r="AG28" s="1">
        <v>0</v>
      </c>
      <c r="AH28" s="1">
        <v>3527.97</v>
      </c>
      <c r="AI28" s="1">
        <v>0</v>
      </c>
      <c r="AJ28" s="1">
        <v>2367.56</v>
      </c>
      <c r="AK28" s="1">
        <v>0</v>
      </c>
      <c r="AL28" s="1">
        <v>3596.92</v>
      </c>
      <c r="AM28" s="9">
        <f t="shared" si="9"/>
        <v>0</v>
      </c>
      <c r="AN28" s="9">
        <f t="shared" si="10"/>
        <v>120378.67</v>
      </c>
      <c r="AO28" s="248">
        <f t="shared" si="11"/>
        <v>120378.67</v>
      </c>
      <c r="AP28" s="10"/>
      <c r="AQ28" s="10"/>
      <c r="AR28" s="10"/>
      <c r="AS28" s="10"/>
      <c r="AT28" s="163">
        <f t="shared" si="12"/>
        <v>120378.67</v>
      </c>
      <c r="AU28" s="2"/>
      <c r="AV28" s="2"/>
      <c r="AW28" s="168"/>
      <c r="AX28" s="21">
        <f t="shared" si="4"/>
        <v>-42285.06999999999</v>
      </c>
      <c r="AY28" s="26">
        <v>93219.41</v>
      </c>
    </row>
    <row r="29" spans="1:51" ht="15.75" customHeight="1">
      <c r="A29" s="1">
        <v>21</v>
      </c>
      <c r="B29" s="1" t="s">
        <v>48</v>
      </c>
      <c r="C29" s="1">
        <v>1322.4</v>
      </c>
      <c r="D29" s="1">
        <v>0</v>
      </c>
      <c r="E29" s="1">
        <f t="shared" si="14"/>
        <v>1322.4</v>
      </c>
      <c r="F29" s="2">
        <v>9.16</v>
      </c>
      <c r="G29" s="2">
        <f t="shared" si="1"/>
        <v>12113.184000000001</v>
      </c>
      <c r="H29" s="2">
        <f t="shared" si="5"/>
        <v>72679.104</v>
      </c>
      <c r="I29" s="2">
        <f t="shared" si="6"/>
        <v>9.16</v>
      </c>
      <c r="J29" s="2">
        <f t="shared" si="7"/>
        <v>12113.184000000001</v>
      </c>
      <c r="K29" s="2">
        <f t="shared" si="8"/>
        <v>72679.104</v>
      </c>
      <c r="L29" s="13">
        <f t="shared" si="2"/>
        <v>145358.208</v>
      </c>
      <c r="M29" s="139">
        <v>-65589.15</v>
      </c>
      <c r="N29" s="34">
        <f t="shared" si="3"/>
        <v>79769.05800000002</v>
      </c>
      <c r="O29" s="152">
        <v>0</v>
      </c>
      <c r="P29" s="152">
        <v>51228.57</v>
      </c>
      <c r="Q29" s="1">
        <v>0</v>
      </c>
      <c r="R29" s="1">
        <v>13994.35</v>
      </c>
      <c r="S29" s="1">
        <v>0</v>
      </c>
      <c r="T29" s="1">
        <v>11541.57</v>
      </c>
      <c r="U29" s="33">
        <v>0</v>
      </c>
      <c r="V29" s="33">
        <v>24423.77</v>
      </c>
      <c r="W29" s="1">
        <v>0</v>
      </c>
      <c r="X29" s="1">
        <v>3628.57</v>
      </c>
      <c r="Y29" s="1">
        <v>0</v>
      </c>
      <c r="Z29" s="1">
        <v>3628.57</v>
      </c>
      <c r="AA29" s="33">
        <v>0</v>
      </c>
      <c r="AB29" s="33">
        <v>15154</v>
      </c>
      <c r="AC29" s="33">
        <v>0</v>
      </c>
      <c r="AD29" s="33">
        <v>8715.23</v>
      </c>
      <c r="AE29" s="33">
        <v>0</v>
      </c>
      <c r="AF29" s="33">
        <v>3718.57</v>
      </c>
      <c r="AG29" s="1">
        <v>0</v>
      </c>
      <c r="AH29" s="1">
        <v>8109.67</v>
      </c>
      <c r="AI29" s="1">
        <v>0</v>
      </c>
      <c r="AJ29" s="1">
        <v>56665.96</v>
      </c>
      <c r="AK29" s="1">
        <v>0</v>
      </c>
      <c r="AL29" s="1">
        <v>3628.57</v>
      </c>
      <c r="AM29" s="9">
        <f t="shared" si="9"/>
        <v>0</v>
      </c>
      <c r="AN29" s="9">
        <f t="shared" si="10"/>
        <v>204437.40000000002</v>
      </c>
      <c r="AO29" s="248">
        <f t="shared" si="11"/>
        <v>204437.40000000002</v>
      </c>
      <c r="AP29" s="10"/>
      <c r="AQ29" s="10"/>
      <c r="AR29" s="10"/>
      <c r="AS29" s="10"/>
      <c r="AT29" s="163">
        <f t="shared" si="12"/>
        <v>204437.40000000002</v>
      </c>
      <c r="AU29" s="2"/>
      <c r="AV29" s="2"/>
      <c r="AW29" s="168"/>
      <c r="AX29" s="21">
        <f t="shared" si="4"/>
        <v>-124668.342</v>
      </c>
      <c r="AY29" s="26">
        <v>28115.19</v>
      </c>
    </row>
    <row r="30" spans="1:51" ht="15.75" customHeight="1">
      <c r="A30" s="1">
        <v>22</v>
      </c>
      <c r="B30" s="1" t="s">
        <v>49</v>
      </c>
      <c r="C30" s="1">
        <v>1425.9</v>
      </c>
      <c r="D30" s="1">
        <v>0</v>
      </c>
      <c r="E30" s="1">
        <f t="shared" si="14"/>
        <v>1425.9</v>
      </c>
      <c r="F30" s="2">
        <v>13.4</v>
      </c>
      <c r="G30" s="2">
        <f t="shared" si="1"/>
        <v>19107.06</v>
      </c>
      <c r="H30" s="2">
        <f t="shared" si="5"/>
        <v>114642.36000000002</v>
      </c>
      <c r="I30" s="2">
        <f t="shared" si="6"/>
        <v>13.4</v>
      </c>
      <c r="J30" s="2">
        <f t="shared" si="7"/>
        <v>19107.06</v>
      </c>
      <c r="K30" s="2">
        <f t="shared" si="8"/>
        <v>114642.36000000002</v>
      </c>
      <c r="L30" s="13">
        <f t="shared" si="2"/>
        <v>229284.72000000003</v>
      </c>
      <c r="M30" s="139">
        <v>-28553.68</v>
      </c>
      <c r="N30" s="34">
        <f t="shared" si="3"/>
        <v>200731.04000000004</v>
      </c>
      <c r="O30" s="152">
        <v>0</v>
      </c>
      <c r="P30" s="152">
        <v>27694.56</v>
      </c>
      <c r="Q30" s="1">
        <v>0</v>
      </c>
      <c r="R30" s="1">
        <v>19228.09</v>
      </c>
      <c r="S30" s="1">
        <v>0</v>
      </c>
      <c r="T30" s="1">
        <v>49195.38</v>
      </c>
      <c r="U30" s="33">
        <v>0</v>
      </c>
      <c r="V30" s="33">
        <v>55392.17</v>
      </c>
      <c r="W30" s="1">
        <v>0</v>
      </c>
      <c r="X30" s="1">
        <v>36772.22</v>
      </c>
      <c r="Y30" s="1">
        <v>0</v>
      </c>
      <c r="Z30" s="1">
        <v>11606.21</v>
      </c>
      <c r="AA30" s="33">
        <v>0</v>
      </c>
      <c r="AB30" s="33">
        <v>3894.56</v>
      </c>
      <c r="AC30" s="33">
        <v>0</v>
      </c>
      <c r="AD30" s="33">
        <v>10876.91</v>
      </c>
      <c r="AE30" s="33">
        <v>0</v>
      </c>
      <c r="AF30" s="33">
        <v>15716.76</v>
      </c>
      <c r="AG30" s="1">
        <v>0</v>
      </c>
      <c r="AH30" s="1">
        <v>7014.35</v>
      </c>
      <c r="AI30" s="1">
        <v>0</v>
      </c>
      <c r="AJ30" s="1">
        <v>8362.93</v>
      </c>
      <c r="AK30" s="1">
        <v>0</v>
      </c>
      <c r="AL30" s="1">
        <v>23022.22</v>
      </c>
      <c r="AM30" s="9">
        <f t="shared" si="9"/>
        <v>0</v>
      </c>
      <c r="AN30" s="9">
        <f t="shared" si="10"/>
        <v>268776.36</v>
      </c>
      <c r="AO30" s="248">
        <f t="shared" si="11"/>
        <v>268776.36</v>
      </c>
      <c r="AP30" s="10">
        <v>2051</v>
      </c>
      <c r="AQ30" s="10">
        <f>(112448.96-37591.89)+8795</f>
        <v>83652.07</v>
      </c>
      <c r="AR30" s="10"/>
      <c r="AS30" s="10"/>
      <c r="AT30" s="163">
        <f t="shared" si="12"/>
        <v>354479.43</v>
      </c>
      <c r="AU30" s="2"/>
      <c r="AV30" s="2"/>
      <c r="AW30" s="168"/>
      <c r="AX30" s="21">
        <f t="shared" si="4"/>
        <v>-153748.38999999996</v>
      </c>
      <c r="AY30" s="26">
        <v>94065.55</v>
      </c>
    </row>
    <row r="31" spans="1:51" ht="15.75" customHeight="1">
      <c r="A31" s="1">
        <v>23</v>
      </c>
      <c r="B31" s="1" t="s">
        <v>50</v>
      </c>
      <c r="C31" s="1">
        <v>493.4</v>
      </c>
      <c r="D31" s="1">
        <v>0</v>
      </c>
      <c r="E31" s="1">
        <f t="shared" si="14"/>
        <v>493.4</v>
      </c>
      <c r="F31" s="2">
        <v>13</v>
      </c>
      <c r="G31" s="2">
        <f t="shared" si="1"/>
        <v>6414.2</v>
      </c>
      <c r="H31" s="2">
        <f t="shared" si="5"/>
        <v>38485.2</v>
      </c>
      <c r="I31" s="2">
        <f t="shared" si="6"/>
        <v>13</v>
      </c>
      <c r="J31" s="2">
        <f t="shared" si="7"/>
        <v>6414.2</v>
      </c>
      <c r="K31" s="2">
        <f t="shared" si="8"/>
        <v>38485.2</v>
      </c>
      <c r="L31" s="13">
        <f t="shared" si="2"/>
        <v>76970.4</v>
      </c>
      <c r="M31" s="139">
        <v>-164834.95</v>
      </c>
      <c r="N31" s="34">
        <f t="shared" si="3"/>
        <v>-87864.55000000002</v>
      </c>
      <c r="O31" s="152">
        <v>0</v>
      </c>
      <c r="P31" s="152">
        <v>15548.04</v>
      </c>
      <c r="Q31" s="1">
        <v>0</v>
      </c>
      <c r="R31" s="1">
        <v>1498.04</v>
      </c>
      <c r="S31" s="1">
        <v>0</v>
      </c>
      <c r="T31" s="1">
        <v>4234</v>
      </c>
      <c r="U31" s="33">
        <v>0</v>
      </c>
      <c r="V31" s="33">
        <v>2658.04</v>
      </c>
      <c r="W31" s="1">
        <v>0</v>
      </c>
      <c r="X31" s="1">
        <v>1498.04</v>
      </c>
      <c r="Y31" s="1">
        <v>0</v>
      </c>
      <c r="Z31" s="1">
        <v>2879.3</v>
      </c>
      <c r="AA31" s="33">
        <v>0</v>
      </c>
      <c r="AB31" s="33">
        <v>1498.04</v>
      </c>
      <c r="AC31" s="33">
        <v>0</v>
      </c>
      <c r="AD31" s="33">
        <v>13220.96</v>
      </c>
      <c r="AE31" s="33">
        <v>0</v>
      </c>
      <c r="AF31" s="33">
        <v>1498.04</v>
      </c>
      <c r="AG31" s="1">
        <v>0</v>
      </c>
      <c r="AH31" s="1">
        <v>2658.45</v>
      </c>
      <c r="AI31" s="1">
        <v>0</v>
      </c>
      <c r="AJ31" s="1">
        <v>1498.04</v>
      </c>
      <c r="AK31" s="1">
        <v>0</v>
      </c>
      <c r="AL31" s="1">
        <v>1748.29</v>
      </c>
      <c r="AM31" s="9">
        <f t="shared" si="9"/>
        <v>0</v>
      </c>
      <c r="AN31" s="9">
        <f t="shared" si="10"/>
        <v>50437.280000000006</v>
      </c>
      <c r="AO31" s="248">
        <f t="shared" si="11"/>
        <v>50437.280000000006</v>
      </c>
      <c r="AP31" s="10"/>
      <c r="AQ31" s="10"/>
      <c r="AR31" s="10"/>
      <c r="AS31" s="10"/>
      <c r="AT31" s="163">
        <f t="shared" si="12"/>
        <v>50437.280000000006</v>
      </c>
      <c r="AU31" s="2"/>
      <c r="AV31" s="2"/>
      <c r="AW31" s="168"/>
      <c r="AX31" s="21">
        <f t="shared" si="4"/>
        <v>-138301.83000000002</v>
      </c>
      <c r="AY31" s="26">
        <v>7964.14</v>
      </c>
    </row>
    <row r="32" spans="1:51" ht="15.75" customHeight="1">
      <c r="A32" s="1">
        <v>24</v>
      </c>
      <c r="B32" s="1" t="s">
        <v>51</v>
      </c>
      <c r="C32" s="1">
        <v>1357.3</v>
      </c>
      <c r="D32" s="1">
        <v>0</v>
      </c>
      <c r="E32" s="1">
        <f t="shared" si="14"/>
        <v>1357.3</v>
      </c>
      <c r="F32" s="2">
        <v>13</v>
      </c>
      <c r="G32" s="2">
        <f t="shared" si="1"/>
        <v>17644.899999999998</v>
      </c>
      <c r="H32" s="2">
        <f t="shared" si="5"/>
        <v>105869.4</v>
      </c>
      <c r="I32" s="2">
        <f t="shared" si="6"/>
        <v>13</v>
      </c>
      <c r="J32" s="2">
        <f t="shared" si="7"/>
        <v>17644.899999999998</v>
      </c>
      <c r="K32" s="2">
        <f t="shared" si="8"/>
        <v>105869.4</v>
      </c>
      <c r="L32" s="13">
        <f t="shared" si="2"/>
        <v>211738.8</v>
      </c>
      <c r="M32" s="139">
        <v>-37905.55</v>
      </c>
      <c r="N32" s="34">
        <f t="shared" si="3"/>
        <v>173833.25</v>
      </c>
      <c r="O32" s="152">
        <v>0</v>
      </c>
      <c r="P32" s="152">
        <v>52392.62</v>
      </c>
      <c r="Q32" s="1">
        <v>0</v>
      </c>
      <c r="R32" s="1">
        <v>29320.39</v>
      </c>
      <c r="S32" s="1">
        <v>0</v>
      </c>
      <c r="T32" s="1">
        <v>15933.46</v>
      </c>
      <c r="U32" s="33">
        <v>0</v>
      </c>
      <c r="V32" s="33">
        <v>9181.57</v>
      </c>
      <c r="W32" s="1">
        <v>0</v>
      </c>
      <c r="X32" s="1">
        <v>109313.42</v>
      </c>
      <c r="Y32" s="1">
        <v>0</v>
      </c>
      <c r="Z32" s="1">
        <v>3488.26</v>
      </c>
      <c r="AA32" s="33">
        <v>0</v>
      </c>
      <c r="AB32" s="33">
        <v>4313.72</v>
      </c>
      <c r="AC32" s="33">
        <v>0</v>
      </c>
      <c r="AD32" s="33">
        <v>11929.6</v>
      </c>
      <c r="AE32" s="33">
        <v>0</v>
      </c>
      <c r="AF32" s="33">
        <v>4710.96</v>
      </c>
      <c r="AG32" s="1">
        <v>0</v>
      </c>
      <c r="AH32" s="1">
        <v>5110.67</v>
      </c>
      <c r="AI32" s="1">
        <v>0</v>
      </c>
      <c r="AJ32" s="1">
        <v>3488.26</v>
      </c>
      <c r="AK32" s="1">
        <v>0</v>
      </c>
      <c r="AL32" s="1">
        <v>4597.08</v>
      </c>
      <c r="AM32" s="9">
        <f t="shared" si="9"/>
        <v>0</v>
      </c>
      <c r="AN32" s="9">
        <f t="shared" si="10"/>
        <v>253780.01000000004</v>
      </c>
      <c r="AO32" s="248">
        <f t="shared" si="11"/>
        <v>253780.01000000004</v>
      </c>
      <c r="AP32" s="10"/>
      <c r="AQ32" s="10"/>
      <c r="AR32" s="10"/>
      <c r="AS32" s="10"/>
      <c r="AT32" s="163">
        <f t="shared" si="12"/>
        <v>253780.01000000004</v>
      </c>
      <c r="AU32" s="2"/>
      <c r="AV32" s="2"/>
      <c r="AW32" s="168"/>
      <c r="AX32" s="21">
        <f t="shared" si="4"/>
        <v>-79946.76000000004</v>
      </c>
      <c r="AY32" s="26">
        <v>244589.01</v>
      </c>
    </row>
    <row r="33" spans="1:51" ht="15.75" customHeight="1">
      <c r="A33" s="1">
        <v>25</v>
      </c>
      <c r="B33" s="1" t="s">
        <v>52</v>
      </c>
      <c r="C33" s="1">
        <v>2531.7</v>
      </c>
      <c r="D33" s="1">
        <v>0</v>
      </c>
      <c r="E33" s="1">
        <f t="shared" si="14"/>
        <v>2531.7</v>
      </c>
      <c r="F33" s="2">
        <v>14.36</v>
      </c>
      <c r="G33" s="2">
        <f t="shared" si="1"/>
        <v>36355.212</v>
      </c>
      <c r="H33" s="2">
        <f t="shared" si="5"/>
        <v>218131.272</v>
      </c>
      <c r="I33" s="2">
        <f t="shared" si="6"/>
        <v>14.36</v>
      </c>
      <c r="J33" s="2">
        <f t="shared" si="7"/>
        <v>36355.212</v>
      </c>
      <c r="K33" s="2">
        <f t="shared" si="8"/>
        <v>218131.272</v>
      </c>
      <c r="L33" s="13">
        <f t="shared" si="2"/>
        <v>436262.544</v>
      </c>
      <c r="M33" s="139">
        <v>-554637.97</v>
      </c>
      <c r="N33" s="34">
        <f t="shared" si="3"/>
        <v>-118375.42599999998</v>
      </c>
      <c r="O33" s="152">
        <v>98242.14</v>
      </c>
      <c r="P33" s="152">
        <v>8235.03</v>
      </c>
      <c r="Q33" s="1">
        <v>7347.63</v>
      </c>
      <c r="R33" s="1">
        <v>8367.58</v>
      </c>
      <c r="S33" s="1">
        <v>119293.64</v>
      </c>
      <c r="T33" s="1">
        <v>8483.09</v>
      </c>
      <c r="U33" s="33">
        <v>4658.33</v>
      </c>
      <c r="V33" s="33">
        <v>7979.16</v>
      </c>
      <c r="W33" s="1">
        <v>12321.38</v>
      </c>
      <c r="X33" s="1">
        <v>7006.47</v>
      </c>
      <c r="Y33" s="1">
        <v>9924.26</v>
      </c>
      <c r="Z33" s="1">
        <v>26193.09</v>
      </c>
      <c r="AA33" s="33">
        <v>9924.26</v>
      </c>
      <c r="AB33" s="33">
        <v>6736.47</v>
      </c>
      <c r="AC33" s="33">
        <v>16324.62</v>
      </c>
      <c r="AD33" s="33">
        <v>7006.47</v>
      </c>
      <c r="AE33" s="33">
        <v>11219.26</v>
      </c>
      <c r="AF33" s="33">
        <v>15183.78</v>
      </c>
      <c r="AG33" s="1">
        <v>8570.68</v>
      </c>
      <c r="AH33" s="1">
        <v>9216.99</v>
      </c>
      <c r="AI33" s="1">
        <v>4658.33</v>
      </c>
      <c r="AJ33" s="1">
        <v>7546.47</v>
      </c>
      <c r="AK33" s="1">
        <v>15627.5</v>
      </c>
      <c r="AL33" s="1">
        <v>6736.47</v>
      </c>
      <c r="AM33" s="9">
        <f t="shared" si="9"/>
        <v>318112.03</v>
      </c>
      <c r="AN33" s="9">
        <f t="shared" si="10"/>
        <v>118691.07</v>
      </c>
      <c r="AO33" s="248">
        <f t="shared" si="11"/>
        <v>436803.10000000003</v>
      </c>
      <c r="AP33" s="10"/>
      <c r="AQ33" s="10">
        <v>18796</v>
      </c>
      <c r="AR33" s="10"/>
      <c r="AS33" s="10"/>
      <c r="AT33" s="163">
        <f t="shared" si="12"/>
        <v>455599.10000000003</v>
      </c>
      <c r="AU33" s="2"/>
      <c r="AV33" s="2"/>
      <c r="AW33" s="168"/>
      <c r="AX33" s="21">
        <f t="shared" si="4"/>
        <v>-573974.5260000001</v>
      </c>
      <c r="AY33" s="26">
        <v>298854.39</v>
      </c>
    </row>
    <row r="34" spans="1:51" ht="15.75" customHeight="1">
      <c r="A34" s="1">
        <v>26</v>
      </c>
      <c r="B34" s="1" t="s">
        <v>53</v>
      </c>
      <c r="C34" s="1">
        <v>3200</v>
      </c>
      <c r="D34" s="1">
        <v>0</v>
      </c>
      <c r="E34" s="1">
        <f t="shared" si="14"/>
        <v>3200</v>
      </c>
      <c r="F34" s="2">
        <v>14.36</v>
      </c>
      <c r="G34" s="2">
        <f t="shared" si="1"/>
        <v>45952</v>
      </c>
      <c r="H34" s="2">
        <f t="shared" si="5"/>
        <v>275712</v>
      </c>
      <c r="I34" s="2">
        <f t="shared" si="6"/>
        <v>14.36</v>
      </c>
      <c r="J34" s="2">
        <f t="shared" si="7"/>
        <v>45952</v>
      </c>
      <c r="K34" s="2">
        <f t="shared" si="8"/>
        <v>275712</v>
      </c>
      <c r="L34" s="13">
        <f t="shared" si="2"/>
        <v>551424</v>
      </c>
      <c r="M34" s="139"/>
      <c r="N34" s="34">
        <f t="shared" si="3"/>
        <v>551424</v>
      </c>
      <c r="O34" s="152">
        <v>0</v>
      </c>
      <c r="P34" s="152">
        <v>19796.64</v>
      </c>
      <c r="Q34" s="1">
        <v>0</v>
      </c>
      <c r="R34" s="1">
        <v>53232.76</v>
      </c>
      <c r="S34" s="1">
        <v>0</v>
      </c>
      <c r="T34" s="1">
        <v>29301.2</v>
      </c>
      <c r="U34" s="33">
        <v>0</v>
      </c>
      <c r="V34" s="33">
        <v>22288.1</v>
      </c>
      <c r="W34" s="1">
        <v>0</v>
      </c>
      <c r="X34" s="1">
        <v>21575</v>
      </c>
      <c r="Y34" s="1">
        <v>0</v>
      </c>
      <c r="Z34" s="1">
        <v>53310.51</v>
      </c>
      <c r="AA34" s="33">
        <v>0</v>
      </c>
      <c r="AB34" s="33">
        <v>21003.19</v>
      </c>
      <c r="AC34" s="33">
        <v>0</v>
      </c>
      <c r="AD34" s="33">
        <v>38593.66</v>
      </c>
      <c r="AE34" s="33">
        <v>0</v>
      </c>
      <c r="AF34" s="33">
        <v>42776.28</v>
      </c>
      <c r="AG34" s="1">
        <v>0</v>
      </c>
      <c r="AH34" s="1">
        <v>17752.98</v>
      </c>
      <c r="AI34" s="1">
        <v>0</v>
      </c>
      <c r="AJ34" s="1">
        <v>41690.21</v>
      </c>
      <c r="AK34" s="1">
        <v>0</v>
      </c>
      <c r="AL34" s="1">
        <v>29253.52</v>
      </c>
      <c r="AM34" s="9">
        <f t="shared" si="9"/>
        <v>0</v>
      </c>
      <c r="AN34" s="9">
        <f t="shared" si="10"/>
        <v>390574.05</v>
      </c>
      <c r="AO34" s="248">
        <f t="shared" si="11"/>
        <v>390574.05</v>
      </c>
      <c r="AP34" s="10"/>
      <c r="AQ34" s="10">
        <f>(247723.12-115745.95)+(24766-14945.51)</f>
        <v>141797.65999999997</v>
      </c>
      <c r="AR34" s="10"/>
      <c r="AS34" s="10"/>
      <c r="AT34" s="163">
        <f t="shared" si="12"/>
        <v>532371.71</v>
      </c>
      <c r="AU34" s="2"/>
      <c r="AV34" s="2"/>
      <c r="AW34" s="168">
        <v>4128</v>
      </c>
      <c r="AX34" s="21">
        <f t="shared" si="4"/>
        <v>23180.290000000037</v>
      </c>
      <c r="AY34" s="26">
        <v>349300.59</v>
      </c>
    </row>
    <row r="35" spans="1:51" ht="15.75" customHeight="1">
      <c r="A35" s="1">
        <v>27</v>
      </c>
      <c r="B35" s="1" t="s">
        <v>54</v>
      </c>
      <c r="C35" s="1">
        <v>3181.1</v>
      </c>
      <c r="D35" s="1">
        <v>0</v>
      </c>
      <c r="E35" s="1">
        <f t="shared" si="14"/>
        <v>3181.1</v>
      </c>
      <c r="F35" s="2">
        <v>13.34</v>
      </c>
      <c r="G35" s="2">
        <f t="shared" si="1"/>
        <v>42435.873999999996</v>
      </c>
      <c r="H35" s="2">
        <f t="shared" si="5"/>
        <v>254615.24399999998</v>
      </c>
      <c r="I35" s="2">
        <f t="shared" si="6"/>
        <v>13.34</v>
      </c>
      <c r="J35" s="2">
        <f t="shared" si="7"/>
        <v>42435.873999999996</v>
      </c>
      <c r="K35" s="2">
        <f t="shared" si="8"/>
        <v>254615.24399999998</v>
      </c>
      <c r="L35" s="13">
        <f t="shared" si="2"/>
        <v>509230.48799999995</v>
      </c>
      <c r="M35" s="139"/>
      <c r="N35" s="34">
        <f t="shared" si="3"/>
        <v>509230.48799999995</v>
      </c>
      <c r="O35" s="152">
        <v>0</v>
      </c>
      <c r="P35" s="152">
        <v>18685.6</v>
      </c>
      <c r="Q35" s="1">
        <v>0</v>
      </c>
      <c r="R35" s="1">
        <v>57866.49</v>
      </c>
      <c r="S35" s="1">
        <v>0</v>
      </c>
      <c r="T35" s="1">
        <v>24058.65</v>
      </c>
      <c r="U35" s="33">
        <v>0</v>
      </c>
      <c r="V35" s="33">
        <v>19173.3</v>
      </c>
      <c r="W35" s="1">
        <v>0</v>
      </c>
      <c r="X35" s="1">
        <v>38148.8</v>
      </c>
      <c r="Y35" s="1">
        <v>0</v>
      </c>
      <c r="Z35" s="1">
        <v>49724.2</v>
      </c>
      <c r="AA35" s="33">
        <v>0</v>
      </c>
      <c r="AB35" s="33">
        <v>18457.7</v>
      </c>
      <c r="AC35" s="33">
        <v>0</v>
      </c>
      <c r="AD35" s="33">
        <v>31261.85</v>
      </c>
      <c r="AE35" s="33">
        <v>0</v>
      </c>
      <c r="AF35" s="33">
        <v>18457.7</v>
      </c>
      <c r="AG35" s="1">
        <v>0</v>
      </c>
      <c r="AH35" s="1">
        <v>14973.71</v>
      </c>
      <c r="AI35" s="1">
        <v>0</v>
      </c>
      <c r="AJ35" s="1">
        <v>18981.91</v>
      </c>
      <c r="AK35" s="1">
        <v>0</v>
      </c>
      <c r="AL35" s="1">
        <v>49136.28</v>
      </c>
      <c r="AM35" s="9">
        <f t="shared" si="9"/>
        <v>0</v>
      </c>
      <c r="AN35" s="9">
        <f t="shared" si="10"/>
        <v>358926.18999999994</v>
      </c>
      <c r="AO35" s="248">
        <f t="shared" si="11"/>
        <v>358926.18999999994</v>
      </c>
      <c r="AP35" s="10"/>
      <c r="AQ35" s="10"/>
      <c r="AR35" s="10"/>
      <c r="AS35" s="10"/>
      <c r="AT35" s="163">
        <f t="shared" si="12"/>
        <v>358926.18999999994</v>
      </c>
      <c r="AU35" s="2"/>
      <c r="AV35" s="2"/>
      <c r="AW35" s="168">
        <v>4128</v>
      </c>
      <c r="AX35" s="21">
        <f t="shared" si="4"/>
        <v>154432.298</v>
      </c>
      <c r="AY35" s="26">
        <v>577385.8</v>
      </c>
    </row>
    <row r="36" spans="1:51" ht="15.75" customHeight="1">
      <c r="A36" s="1">
        <v>28</v>
      </c>
      <c r="B36" s="1" t="s">
        <v>55</v>
      </c>
      <c r="C36" s="1">
        <v>1992.6</v>
      </c>
      <c r="D36" s="1">
        <v>42.4</v>
      </c>
      <c r="E36" s="1">
        <f t="shared" si="14"/>
        <v>2035</v>
      </c>
      <c r="F36" s="2">
        <v>14.36</v>
      </c>
      <c r="G36" s="2">
        <f t="shared" si="1"/>
        <v>29222.6</v>
      </c>
      <c r="H36" s="2">
        <f t="shared" si="5"/>
        <v>175335.59999999998</v>
      </c>
      <c r="I36" s="2">
        <f t="shared" si="6"/>
        <v>14.36</v>
      </c>
      <c r="J36" s="2">
        <f t="shared" si="7"/>
        <v>29222.6</v>
      </c>
      <c r="K36" s="2">
        <f t="shared" si="8"/>
        <v>175335.59999999998</v>
      </c>
      <c r="L36" s="13">
        <f t="shared" si="2"/>
        <v>350671.19999999995</v>
      </c>
      <c r="M36" s="139"/>
      <c r="N36" s="34">
        <f t="shared" si="3"/>
        <v>350671.19999999995</v>
      </c>
      <c r="O36" s="152">
        <v>3459.5</v>
      </c>
      <c r="P36" s="152">
        <v>7283.1</v>
      </c>
      <c r="Q36" s="1">
        <v>3459.5</v>
      </c>
      <c r="R36" s="1">
        <v>5459.95</v>
      </c>
      <c r="S36" s="1">
        <v>3459.5</v>
      </c>
      <c r="T36" s="1">
        <v>6793.14</v>
      </c>
      <c r="U36" s="33">
        <v>4721.75</v>
      </c>
      <c r="V36" s="33">
        <v>6619.95</v>
      </c>
      <c r="W36" s="1">
        <v>6430.6</v>
      </c>
      <c r="X36" s="1">
        <v>5459.95</v>
      </c>
      <c r="Y36" s="1">
        <v>20180.6</v>
      </c>
      <c r="Z36" s="1">
        <v>5459.95</v>
      </c>
      <c r="AA36" s="33">
        <v>13109.32</v>
      </c>
      <c r="AB36" s="33">
        <v>18014.86</v>
      </c>
      <c r="AC36" s="33">
        <v>6430.6</v>
      </c>
      <c r="AD36" s="33">
        <v>13260.53</v>
      </c>
      <c r="AE36" s="33">
        <v>6430.6</v>
      </c>
      <c r="AF36" s="33">
        <v>13727.26</v>
      </c>
      <c r="AG36" s="1">
        <v>3459.5</v>
      </c>
      <c r="AH36" s="1">
        <v>7262</v>
      </c>
      <c r="AI36" s="1">
        <v>3459.5</v>
      </c>
      <c r="AJ36" s="1">
        <v>5459.95</v>
      </c>
      <c r="AK36" s="1">
        <v>11462.78</v>
      </c>
      <c r="AL36" s="1">
        <v>6143.19</v>
      </c>
      <c r="AM36" s="9">
        <f t="shared" si="9"/>
        <v>86063.75</v>
      </c>
      <c r="AN36" s="9">
        <f t="shared" si="10"/>
        <v>100943.83</v>
      </c>
      <c r="AO36" s="248">
        <f t="shared" si="11"/>
        <v>187007.58000000002</v>
      </c>
      <c r="AP36" s="10"/>
      <c r="AQ36" s="10"/>
      <c r="AR36" s="10"/>
      <c r="AS36" s="10">
        <v>1000</v>
      </c>
      <c r="AT36" s="163">
        <f t="shared" si="12"/>
        <v>188007.58000000002</v>
      </c>
      <c r="AU36" s="2"/>
      <c r="AV36" s="2"/>
      <c r="AW36" s="168">
        <v>2408</v>
      </c>
      <c r="AX36" s="21">
        <f t="shared" si="4"/>
        <v>165071.61999999994</v>
      </c>
      <c r="AY36" s="26">
        <v>53937.6</v>
      </c>
    </row>
    <row r="37" spans="1:51" ht="15.75" customHeight="1">
      <c r="A37" s="1">
        <v>29</v>
      </c>
      <c r="B37" s="1" t="s">
        <v>56</v>
      </c>
      <c r="C37" s="1">
        <v>2165.8</v>
      </c>
      <c r="D37" s="1">
        <v>665.76</v>
      </c>
      <c r="E37" s="1">
        <f t="shared" si="14"/>
        <v>2831.5600000000004</v>
      </c>
      <c r="F37" s="2">
        <v>13.84</v>
      </c>
      <c r="G37" s="2">
        <f t="shared" si="1"/>
        <v>39188.790400000005</v>
      </c>
      <c r="H37" s="2">
        <f t="shared" si="5"/>
        <v>235132.74240000005</v>
      </c>
      <c r="I37" s="2">
        <f t="shared" si="6"/>
        <v>13.84</v>
      </c>
      <c r="J37" s="2">
        <f t="shared" si="7"/>
        <v>39188.790400000005</v>
      </c>
      <c r="K37" s="2">
        <f t="shared" si="8"/>
        <v>235132.74240000005</v>
      </c>
      <c r="L37" s="13">
        <f t="shared" si="2"/>
        <v>470265.4848000001</v>
      </c>
      <c r="M37" s="139">
        <v>-260479.43</v>
      </c>
      <c r="N37" s="34">
        <f t="shared" si="3"/>
        <v>209786.0548000001</v>
      </c>
      <c r="O37" s="152">
        <v>5209.33</v>
      </c>
      <c r="P37" s="152">
        <v>30116.04</v>
      </c>
      <c r="Q37" s="1">
        <v>43393.27</v>
      </c>
      <c r="R37" s="1">
        <v>35223.2</v>
      </c>
      <c r="S37" s="1">
        <v>37556.75</v>
      </c>
      <c r="T37" s="1">
        <v>45153.85</v>
      </c>
      <c r="U37" s="33">
        <v>25946.76</v>
      </c>
      <c r="V37" s="33">
        <v>70922.72</v>
      </c>
      <c r="W37" s="1">
        <v>12005.25</v>
      </c>
      <c r="X37" s="1">
        <v>20038.87</v>
      </c>
      <c r="Y37" s="1">
        <v>17920.2</v>
      </c>
      <c r="Z37" s="1">
        <v>13974.61</v>
      </c>
      <c r="AA37" s="33">
        <v>15877.7</v>
      </c>
      <c r="AB37" s="33">
        <v>21014.21</v>
      </c>
      <c r="AC37" s="33">
        <v>27201.04</v>
      </c>
      <c r="AD37" s="33">
        <v>121751.96</v>
      </c>
      <c r="AE37" s="33">
        <v>13411.48</v>
      </c>
      <c r="AF37" s="33">
        <v>29643.38</v>
      </c>
      <c r="AG37" s="1">
        <v>25396.94</v>
      </c>
      <c r="AH37" s="1">
        <v>29876.89</v>
      </c>
      <c r="AI37" s="1">
        <v>58080.72</v>
      </c>
      <c r="AJ37" s="1">
        <v>15485.28</v>
      </c>
      <c r="AK37" s="1">
        <v>109966.66</v>
      </c>
      <c r="AL37" s="1">
        <v>23775.22</v>
      </c>
      <c r="AM37" s="9">
        <f t="shared" si="9"/>
        <v>391966.1000000001</v>
      </c>
      <c r="AN37" s="9">
        <f t="shared" si="10"/>
        <v>456976.23</v>
      </c>
      <c r="AO37" s="248">
        <f t="shared" si="11"/>
        <v>848942.3300000001</v>
      </c>
      <c r="AP37" s="10"/>
      <c r="AQ37" s="10">
        <v>69889.07</v>
      </c>
      <c r="AR37" s="10"/>
      <c r="AS37" s="10"/>
      <c r="AT37" s="163">
        <f t="shared" si="12"/>
        <v>918831.4000000001</v>
      </c>
      <c r="AU37" s="2"/>
      <c r="AV37" s="2"/>
      <c r="AW37" s="168">
        <v>4128</v>
      </c>
      <c r="AX37" s="21">
        <f t="shared" si="4"/>
        <v>-704917.3452000001</v>
      </c>
      <c r="AY37" s="26">
        <f>1592039.35+166699.43</f>
        <v>1758738.78</v>
      </c>
    </row>
    <row r="38" spans="1:51" ht="15.75">
      <c r="A38" s="1">
        <v>30</v>
      </c>
      <c r="B38" s="1" t="s">
        <v>57</v>
      </c>
      <c r="C38" s="1">
        <v>2335.7</v>
      </c>
      <c r="D38" s="1">
        <v>173.3</v>
      </c>
      <c r="E38" s="1">
        <f t="shared" si="14"/>
        <v>2509</v>
      </c>
      <c r="F38" s="2">
        <v>13.84</v>
      </c>
      <c r="G38" s="2">
        <f t="shared" si="1"/>
        <v>34724.56</v>
      </c>
      <c r="H38" s="2">
        <f t="shared" si="5"/>
        <v>208347.36</v>
      </c>
      <c r="I38" s="2">
        <f t="shared" si="6"/>
        <v>13.84</v>
      </c>
      <c r="J38" s="2">
        <f t="shared" si="7"/>
        <v>34724.56</v>
      </c>
      <c r="K38" s="2">
        <f t="shared" si="8"/>
        <v>208347.36</v>
      </c>
      <c r="L38" s="13">
        <f t="shared" si="2"/>
        <v>416694.72</v>
      </c>
      <c r="M38" s="139"/>
      <c r="N38" s="34">
        <f t="shared" si="3"/>
        <v>416694.72</v>
      </c>
      <c r="O38" s="152">
        <v>15378.05</v>
      </c>
      <c r="P38" s="152">
        <v>14699.71</v>
      </c>
      <c r="Q38" s="1">
        <v>5768.07</v>
      </c>
      <c r="R38" s="1">
        <v>35126.89</v>
      </c>
      <c r="S38" s="1">
        <v>44802.55</v>
      </c>
      <c r="T38" s="1">
        <v>36907.1</v>
      </c>
      <c r="U38" s="33">
        <v>45791.19</v>
      </c>
      <c r="V38" s="33">
        <v>58664.65</v>
      </c>
      <c r="W38" s="1">
        <v>13925.48</v>
      </c>
      <c r="X38" s="1">
        <v>43287.05</v>
      </c>
      <c r="Y38" s="1">
        <v>10315.16</v>
      </c>
      <c r="Z38" s="1">
        <v>10501.89</v>
      </c>
      <c r="AA38" s="33">
        <v>15109.86</v>
      </c>
      <c r="AB38" s="33">
        <v>21479</v>
      </c>
      <c r="AC38" s="33">
        <v>9843.51</v>
      </c>
      <c r="AD38" s="33">
        <v>19199.94</v>
      </c>
      <c r="AE38" s="33">
        <v>29353.57</v>
      </c>
      <c r="AF38" s="33">
        <v>23621.45</v>
      </c>
      <c r="AG38" s="1">
        <v>18742.02</v>
      </c>
      <c r="AH38" s="1">
        <v>13485.11</v>
      </c>
      <c r="AI38" s="1">
        <v>5356.32</v>
      </c>
      <c r="AJ38" s="1">
        <v>29300.87</v>
      </c>
      <c r="AK38" s="1">
        <v>5542.91</v>
      </c>
      <c r="AL38" s="1">
        <v>8533.53</v>
      </c>
      <c r="AM38" s="9">
        <f t="shared" si="9"/>
        <v>219928.69</v>
      </c>
      <c r="AN38" s="9">
        <f t="shared" si="10"/>
        <v>314807.19000000006</v>
      </c>
      <c r="AO38" s="248">
        <f t="shared" si="11"/>
        <v>534735.8800000001</v>
      </c>
      <c r="AP38" s="10"/>
      <c r="AQ38" s="10"/>
      <c r="AR38" s="10"/>
      <c r="AS38" s="10"/>
      <c r="AT38" s="163">
        <f t="shared" si="12"/>
        <v>534735.8800000001</v>
      </c>
      <c r="AU38" s="2"/>
      <c r="AV38" s="2"/>
      <c r="AW38" s="168">
        <v>4128</v>
      </c>
      <c r="AX38" s="21">
        <f t="shared" si="4"/>
        <v>-113913.16000000015</v>
      </c>
      <c r="AY38" s="26">
        <v>1032345.53</v>
      </c>
    </row>
    <row r="39" spans="1:51" ht="15.75" customHeight="1">
      <c r="A39" s="1">
        <v>31</v>
      </c>
      <c r="B39" s="1" t="s">
        <v>58</v>
      </c>
      <c r="C39" s="1">
        <v>3210.9</v>
      </c>
      <c r="D39" s="1">
        <v>159.4</v>
      </c>
      <c r="E39" s="1">
        <f t="shared" si="14"/>
        <v>3370.3</v>
      </c>
      <c r="F39" s="2">
        <v>14.36</v>
      </c>
      <c r="G39" s="2">
        <f t="shared" si="1"/>
        <v>48397.508</v>
      </c>
      <c r="H39" s="2">
        <f t="shared" si="5"/>
        <v>290385.048</v>
      </c>
      <c r="I39" s="2">
        <f t="shared" si="6"/>
        <v>14.36</v>
      </c>
      <c r="J39" s="2">
        <f t="shared" si="7"/>
        <v>48397.508</v>
      </c>
      <c r="K39" s="2">
        <f t="shared" si="8"/>
        <v>290385.048</v>
      </c>
      <c r="L39" s="13">
        <f t="shared" si="2"/>
        <v>580770.096</v>
      </c>
      <c r="M39" s="139"/>
      <c r="N39" s="34">
        <f t="shared" si="3"/>
        <v>580770.096</v>
      </c>
      <c r="O39" s="152">
        <v>8270.11</v>
      </c>
      <c r="P39" s="152">
        <v>50596.12</v>
      </c>
      <c r="Q39" s="1">
        <v>28639.17</v>
      </c>
      <c r="R39" s="1">
        <v>14863.76</v>
      </c>
      <c r="S39" s="1">
        <v>5728.83</v>
      </c>
      <c r="T39" s="1">
        <v>8660.64</v>
      </c>
      <c r="U39" s="33">
        <v>5728.83</v>
      </c>
      <c r="V39" s="33">
        <v>9820.64</v>
      </c>
      <c r="W39" s="1">
        <v>10648.88</v>
      </c>
      <c r="X39" s="1">
        <v>8660.64</v>
      </c>
      <c r="Y39" s="1">
        <v>10648.88</v>
      </c>
      <c r="Z39" s="1">
        <v>8840.64</v>
      </c>
      <c r="AA39" s="33">
        <v>19548.13</v>
      </c>
      <c r="AB39" s="33">
        <v>20379.39</v>
      </c>
      <c r="AC39" s="33">
        <v>12518.62</v>
      </c>
      <c r="AD39" s="33">
        <v>16344.19</v>
      </c>
      <c r="AE39" s="33">
        <v>22450.47</v>
      </c>
      <c r="AF39" s="33">
        <v>20264.16</v>
      </c>
      <c r="AG39" s="1">
        <v>6982.45</v>
      </c>
      <c r="AH39" s="1">
        <v>34625.43</v>
      </c>
      <c r="AI39" s="1">
        <v>5728.83</v>
      </c>
      <c r="AJ39" s="1">
        <v>23796.9</v>
      </c>
      <c r="AK39" s="1">
        <v>8715.85</v>
      </c>
      <c r="AL39" s="1">
        <v>8660.64</v>
      </c>
      <c r="AM39" s="9">
        <f t="shared" si="9"/>
        <v>145609.05</v>
      </c>
      <c r="AN39" s="9">
        <f t="shared" si="10"/>
        <v>225513.14999999997</v>
      </c>
      <c r="AO39" s="248">
        <f t="shared" si="11"/>
        <v>371122.19999999995</v>
      </c>
      <c r="AP39" s="10"/>
      <c r="AQ39" s="10"/>
      <c r="AR39" s="10"/>
      <c r="AS39" s="10">
        <v>1000</v>
      </c>
      <c r="AT39" s="163">
        <f t="shared" si="12"/>
        <v>372122.19999999995</v>
      </c>
      <c r="AU39" s="2"/>
      <c r="AV39" s="2"/>
      <c r="AW39" s="168">
        <v>4128</v>
      </c>
      <c r="AX39" s="21">
        <f t="shared" si="4"/>
        <v>212775.89600000007</v>
      </c>
      <c r="AY39" s="26">
        <v>96432.1</v>
      </c>
    </row>
    <row r="40" spans="1:51" ht="15.75" customHeight="1">
      <c r="A40" s="1">
        <v>32</v>
      </c>
      <c r="B40" s="1" t="s">
        <v>59</v>
      </c>
      <c r="C40" s="1">
        <v>839</v>
      </c>
      <c r="D40" s="1">
        <v>0</v>
      </c>
      <c r="E40" s="1">
        <f t="shared" si="14"/>
        <v>839</v>
      </c>
      <c r="F40" s="2">
        <v>14.48</v>
      </c>
      <c r="G40" s="2">
        <f t="shared" si="1"/>
        <v>12148.720000000001</v>
      </c>
      <c r="H40" s="2">
        <f t="shared" si="5"/>
        <v>72892.32</v>
      </c>
      <c r="I40" s="2">
        <f t="shared" si="6"/>
        <v>14.48</v>
      </c>
      <c r="J40" s="2">
        <f t="shared" si="7"/>
        <v>12148.720000000001</v>
      </c>
      <c r="K40" s="2">
        <f t="shared" si="8"/>
        <v>72892.32</v>
      </c>
      <c r="L40" s="13">
        <f t="shared" si="2"/>
        <v>145784.64</v>
      </c>
      <c r="M40" s="139"/>
      <c r="N40" s="34">
        <f t="shared" si="3"/>
        <v>145784.64</v>
      </c>
      <c r="O40" s="152">
        <v>1426.3</v>
      </c>
      <c r="P40" s="152">
        <v>4638.7</v>
      </c>
      <c r="Q40" s="1">
        <v>17086.3</v>
      </c>
      <c r="R40" s="1">
        <v>2386.23</v>
      </c>
      <c r="S40" s="1">
        <v>1426.3</v>
      </c>
      <c r="T40" s="1">
        <v>2386.23</v>
      </c>
      <c r="U40" s="33">
        <v>1426.3</v>
      </c>
      <c r="V40" s="33">
        <v>3546.23</v>
      </c>
      <c r="W40" s="1">
        <v>2651.24</v>
      </c>
      <c r="X40" s="1">
        <v>4044.65</v>
      </c>
      <c r="Y40" s="1">
        <v>2651.24</v>
      </c>
      <c r="Z40" s="1">
        <v>2386.23</v>
      </c>
      <c r="AA40" s="33">
        <v>3331.56</v>
      </c>
      <c r="AB40" s="33">
        <v>2386.23</v>
      </c>
      <c r="AC40" s="33">
        <v>3558.34</v>
      </c>
      <c r="AD40" s="33">
        <v>2981.03</v>
      </c>
      <c r="AE40" s="33">
        <v>2651.24</v>
      </c>
      <c r="AF40" s="33">
        <v>10653.54</v>
      </c>
      <c r="AG40" s="1">
        <v>3312.2</v>
      </c>
      <c r="AH40" s="1">
        <v>21889.1</v>
      </c>
      <c r="AI40" s="1">
        <v>5864.63</v>
      </c>
      <c r="AJ40" s="1">
        <v>2386.23</v>
      </c>
      <c r="AK40" s="1">
        <v>4413.32</v>
      </c>
      <c r="AL40" s="1">
        <v>2386.23</v>
      </c>
      <c r="AM40" s="9">
        <f t="shared" si="9"/>
        <v>49798.96999999999</v>
      </c>
      <c r="AN40" s="9">
        <f t="shared" si="10"/>
        <v>62070.630000000005</v>
      </c>
      <c r="AO40" s="248">
        <f t="shared" si="11"/>
        <v>111869.59999999999</v>
      </c>
      <c r="AP40" s="10"/>
      <c r="AQ40" s="10"/>
      <c r="AR40" s="10"/>
      <c r="AS40" s="10"/>
      <c r="AT40" s="163">
        <f t="shared" si="12"/>
        <v>111869.59999999999</v>
      </c>
      <c r="AU40" s="2"/>
      <c r="AV40" s="2"/>
      <c r="AW40" s="168"/>
      <c r="AX40" s="21">
        <f t="shared" si="4"/>
        <v>33915.04000000002</v>
      </c>
      <c r="AY40" s="26">
        <v>317276.13</v>
      </c>
    </row>
    <row r="41" spans="1:51" ht="15.75">
      <c r="A41" s="1">
        <v>33</v>
      </c>
      <c r="B41" s="1" t="s">
        <v>60</v>
      </c>
      <c r="C41" s="1">
        <v>2007.3</v>
      </c>
      <c r="D41" s="1">
        <v>0</v>
      </c>
      <c r="E41" s="1">
        <f t="shared" si="14"/>
        <v>2007.3</v>
      </c>
      <c r="F41" s="2">
        <v>13.97</v>
      </c>
      <c r="G41" s="2">
        <f t="shared" si="1"/>
        <v>28041.981</v>
      </c>
      <c r="H41" s="2">
        <f t="shared" si="5"/>
        <v>168251.886</v>
      </c>
      <c r="I41" s="2">
        <f t="shared" si="6"/>
        <v>13.97</v>
      </c>
      <c r="J41" s="2">
        <f t="shared" si="7"/>
        <v>28041.981</v>
      </c>
      <c r="K41" s="2">
        <f t="shared" si="8"/>
        <v>168251.886</v>
      </c>
      <c r="L41" s="13">
        <f t="shared" si="2"/>
        <v>336503.772</v>
      </c>
      <c r="M41" s="139">
        <v>-448410.39</v>
      </c>
      <c r="N41" s="34">
        <f t="shared" si="3"/>
        <v>-111906.61800000002</v>
      </c>
      <c r="O41" s="152">
        <v>12865.18</v>
      </c>
      <c r="P41" s="152">
        <v>6721.95</v>
      </c>
      <c r="Q41" s="1">
        <v>10453.4</v>
      </c>
      <c r="R41" s="1">
        <v>7641.23</v>
      </c>
      <c r="S41" s="1">
        <v>49336.38</v>
      </c>
      <c r="T41" s="1">
        <v>6388.64</v>
      </c>
      <c r="U41" s="33">
        <v>15703.74</v>
      </c>
      <c r="V41" s="33">
        <v>9949.87</v>
      </c>
      <c r="W41" s="1">
        <v>568.74</v>
      </c>
      <c r="X41" s="1">
        <v>8017.5</v>
      </c>
      <c r="Y41" s="1">
        <v>55031.94</v>
      </c>
      <c r="Z41" s="1">
        <v>6288.76</v>
      </c>
      <c r="AA41" s="33">
        <v>5915.53</v>
      </c>
      <c r="AB41" s="33">
        <v>17943.67</v>
      </c>
      <c r="AC41" s="33">
        <v>4636.27</v>
      </c>
      <c r="AD41" s="33">
        <v>5388.76</v>
      </c>
      <c r="AE41" s="33">
        <v>6674.24</v>
      </c>
      <c r="AF41" s="33">
        <v>5928.76</v>
      </c>
      <c r="AG41" s="1">
        <v>27443.28</v>
      </c>
      <c r="AH41" s="1">
        <v>6549.17</v>
      </c>
      <c r="AI41" s="1">
        <v>0</v>
      </c>
      <c r="AJ41" s="1">
        <v>5388.76</v>
      </c>
      <c r="AK41" s="1">
        <v>1917.08</v>
      </c>
      <c r="AL41" s="1">
        <v>5928.76</v>
      </c>
      <c r="AM41" s="9">
        <f t="shared" si="9"/>
        <v>190545.77999999997</v>
      </c>
      <c r="AN41" s="9">
        <f t="shared" si="10"/>
        <v>92135.82999999999</v>
      </c>
      <c r="AO41" s="248">
        <f t="shared" si="11"/>
        <v>282681.61</v>
      </c>
      <c r="AP41" s="10"/>
      <c r="AQ41" s="10">
        <v>199860.13</v>
      </c>
      <c r="AR41" s="10"/>
      <c r="AS41" s="10"/>
      <c r="AT41" s="163">
        <f t="shared" si="12"/>
        <v>482541.74</v>
      </c>
      <c r="AU41" s="2"/>
      <c r="AV41" s="2"/>
      <c r="AW41" s="168">
        <v>4128</v>
      </c>
      <c r="AX41" s="21">
        <f t="shared" si="4"/>
        <v>-590320.358</v>
      </c>
      <c r="AY41" s="26">
        <v>228474.39</v>
      </c>
    </row>
    <row r="42" spans="1:51" ht="15.75" customHeight="1">
      <c r="A42" s="1">
        <v>34</v>
      </c>
      <c r="B42" s="1" t="s">
        <v>61</v>
      </c>
      <c r="C42" s="1">
        <v>528.8</v>
      </c>
      <c r="D42" s="1">
        <v>0</v>
      </c>
      <c r="E42" s="1">
        <f t="shared" si="14"/>
        <v>528.8</v>
      </c>
      <c r="F42" s="2">
        <v>13</v>
      </c>
      <c r="G42" s="2">
        <f t="shared" si="1"/>
        <v>6874.4</v>
      </c>
      <c r="H42" s="2">
        <f t="shared" si="5"/>
        <v>41246.399999999994</v>
      </c>
      <c r="I42" s="2">
        <f t="shared" si="6"/>
        <v>13</v>
      </c>
      <c r="J42" s="2">
        <f t="shared" si="7"/>
        <v>6874.4</v>
      </c>
      <c r="K42" s="2">
        <f t="shared" si="8"/>
        <v>41246.399999999994</v>
      </c>
      <c r="L42" s="13">
        <f t="shared" si="2"/>
        <v>82492.79999999999</v>
      </c>
      <c r="M42" s="139"/>
      <c r="N42" s="34">
        <f t="shared" si="3"/>
        <v>82492.79999999999</v>
      </c>
      <c r="O42" s="152">
        <v>0</v>
      </c>
      <c r="P42" s="152">
        <v>9657.67</v>
      </c>
      <c r="Q42" s="1">
        <v>0</v>
      </c>
      <c r="R42" s="1">
        <v>11439.93</v>
      </c>
      <c r="S42" s="1">
        <v>0</v>
      </c>
      <c r="T42" s="1">
        <v>2487.98</v>
      </c>
      <c r="U42" s="33">
        <v>0</v>
      </c>
      <c r="V42" s="33">
        <v>3647.98</v>
      </c>
      <c r="W42" s="1">
        <v>0</v>
      </c>
      <c r="X42" s="1">
        <v>3260.02</v>
      </c>
      <c r="Y42" s="1">
        <v>0</v>
      </c>
      <c r="Z42" s="1">
        <v>3260.02</v>
      </c>
      <c r="AA42" s="33">
        <v>0</v>
      </c>
      <c r="AB42" s="33">
        <v>50540.02</v>
      </c>
      <c r="AC42" s="33">
        <v>0</v>
      </c>
      <c r="AD42" s="33">
        <v>3260.02</v>
      </c>
      <c r="AE42" s="33">
        <v>0</v>
      </c>
      <c r="AF42" s="33">
        <v>3260.02</v>
      </c>
      <c r="AG42" s="1">
        <v>0</v>
      </c>
      <c r="AH42" s="1">
        <v>3648.39</v>
      </c>
      <c r="AI42" s="1">
        <v>0</v>
      </c>
      <c r="AJ42" s="1">
        <v>2487.98</v>
      </c>
      <c r="AK42" s="1">
        <v>0</v>
      </c>
      <c r="AL42" s="1">
        <v>2487.98</v>
      </c>
      <c r="AM42" s="9">
        <f t="shared" si="9"/>
        <v>0</v>
      </c>
      <c r="AN42" s="9">
        <f t="shared" si="10"/>
        <v>99438.01</v>
      </c>
      <c r="AO42" s="248">
        <f t="shared" si="11"/>
        <v>99438.01</v>
      </c>
      <c r="AP42" s="10"/>
      <c r="AQ42" s="10"/>
      <c r="AR42" s="10"/>
      <c r="AS42" s="10"/>
      <c r="AT42" s="163">
        <f t="shared" si="12"/>
        <v>99438.01</v>
      </c>
      <c r="AU42" s="2"/>
      <c r="AV42" s="2"/>
      <c r="AW42" s="168">
        <v>13836</v>
      </c>
      <c r="AX42" s="21">
        <f t="shared" si="4"/>
        <v>-3109.2100000000064</v>
      </c>
      <c r="AY42" s="26">
        <v>119058.47</v>
      </c>
    </row>
    <row r="43" spans="1:78" s="18" customFormat="1" ht="15.75">
      <c r="A43" s="1">
        <v>35</v>
      </c>
      <c r="B43" s="1" t="s">
        <v>62</v>
      </c>
      <c r="C43" s="1">
        <v>271.8</v>
      </c>
      <c r="D43" s="1">
        <v>0</v>
      </c>
      <c r="E43" s="1">
        <f t="shared" si="14"/>
        <v>271.8</v>
      </c>
      <c r="F43" s="2">
        <v>12.28</v>
      </c>
      <c r="G43" s="2">
        <f t="shared" si="1"/>
        <v>3337.704</v>
      </c>
      <c r="H43" s="2">
        <f t="shared" si="5"/>
        <v>20026.224000000002</v>
      </c>
      <c r="I43" s="2">
        <f t="shared" si="6"/>
        <v>12.28</v>
      </c>
      <c r="J43" s="2">
        <f t="shared" si="7"/>
        <v>3337.704</v>
      </c>
      <c r="K43" s="2">
        <f t="shared" si="8"/>
        <v>20026.224000000002</v>
      </c>
      <c r="L43" s="13">
        <f t="shared" si="2"/>
        <v>40052.448000000004</v>
      </c>
      <c r="M43" s="139">
        <v>-87333.66</v>
      </c>
      <c r="N43" s="34">
        <f t="shared" si="3"/>
        <v>-47281.212</v>
      </c>
      <c r="O43" s="152">
        <v>0</v>
      </c>
      <c r="P43" s="152">
        <v>928.53</v>
      </c>
      <c r="Q43" s="1">
        <v>0</v>
      </c>
      <c r="R43" s="1">
        <v>928.53</v>
      </c>
      <c r="S43" s="1">
        <v>0</v>
      </c>
      <c r="T43" s="1">
        <v>3584.49</v>
      </c>
      <c r="U43" s="33">
        <v>0</v>
      </c>
      <c r="V43" s="33">
        <v>2088.53</v>
      </c>
      <c r="W43" s="1">
        <v>0</v>
      </c>
      <c r="X43" s="1">
        <v>928.53</v>
      </c>
      <c r="Y43" s="1">
        <v>0</v>
      </c>
      <c r="Z43" s="1">
        <v>928.53</v>
      </c>
      <c r="AA43" s="33">
        <v>0</v>
      </c>
      <c r="AB43" s="33">
        <v>928.53</v>
      </c>
      <c r="AC43" s="33">
        <v>0</v>
      </c>
      <c r="AD43" s="33">
        <v>928.53</v>
      </c>
      <c r="AE43" s="33">
        <v>0</v>
      </c>
      <c r="AF43" s="33">
        <v>928.53</v>
      </c>
      <c r="AG43" s="1">
        <v>0</v>
      </c>
      <c r="AH43" s="1">
        <v>2088.94</v>
      </c>
      <c r="AI43" s="1">
        <v>0</v>
      </c>
      <c r="AJ43" s="1">
        <v>928.53</v>
      </c>
      <c r="AK43" s="1">
        <v>0</v>
      </c>
      <c r="AL43" s="1">
        <v>928.53</v>
      </c>
      <c r="AM43" s="9">
        <f t="shared" si="9"/>
        <v>0</v>
      </c>
      <c r="AN43" s="9">
        <f t="shared" si="10"/>
        <v>16118.730000000005</v>
      </c>
      <c r="AO43" s="248">
        <f t="shared" si="11"/>
        <v>16118.730000000005</v>
      </c>
      <c r="AP43" s="10"/>
      <c r="AQ43" s="10"/>
      <c r="AR43" s="10"/>
      <c r="AS43" s="10"/>
      <c r="AT43" s="163">
        <f t="shared" si="12"/>
        <v>16118.730000000005</v>
      </c>
      <c r="AU43" s="2"/>
      <c r="AV43" s="2">
        <f>E43*0.65+(E43*0.69)*3</f>
        <v>739.296</v>
      </c>
      <c r="AW43" s="168"/>
      <c r="AX43" s="21">
        <f t="shared" si="4"/>
        <v>-62660.646</v>
      </c>
      <c r="AY43" s="26">
        <v>199658.56</v>
      </c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</row>
    <row r="44" spans="1:51" ht="15.75" customHeight="1">
      <c r="A44" s="1">
        <v>36</v>
      </c>
      <c r="B44" s="1" t="s">
        <v>63</v>
      </c>
      <c r="C44" s="1">
        <v>622.4</v>
      </c>
      <c r="D44" s="1">
        <v>0</v>
      </c>
      <c r="E44" s="1">
        <f t="shared" si="14"/>
        <v>622.4</v>
      </c>
      <c r="F44" s="2">
        <v>9.16</v>
      </c>
      <c r="G44" s="2">
        <f t="shared" si="1"/>
        <v>5701.184</v>
      </c>
      <c r="H44" s="2">
        <f t="shared" si="5"/>
        <v>34207.104</v>
      </c>
      <c r="I44" s="2">
        <f t="shared" si="6"/>
        <v>9.16</v>
      </c>
      <c r="J44" s="2">
        <f t="shared" si="7"/>
        <v>5701.184</v>
      </c>
      <c r="K44" s="2">
        <f t="shared" si="8"/>
        <v>34207.104</v>
      </c>
      <c r="L44" s="13">
        <f t="shared" si="2"/>
        <v>68414.208</v>
      </c>
      <c r="M44" s="139">
        <v>-57054.27</v>
      </c>
      <c r="N44" s="34">
        <f t="shared" si="3"/>
        <v>11359.938000000002</v>
      </c>
      <c r="O44" s="152">
        <v>0</v>
      </c>
      <c r="P44" s="152">
        <v>9281.76</v>
      </c>
      <c r="Q44" s="1">
        <v>0</v>
      </c>
      <c r="R44" s="1">
        <v>1599.57</v>
      </c>
      <c r="S44" s="1">
        <v>0</v>
      </c>
      <c r="T44" s="1">
        <v>1599.57</v>
      </c>
      <c r="U44" s="33">
        <v>0</v>
      </c>
      <c r="V44" s="33">
        <v>2759.57</v>
      </c>
      <c r="W44" s="1">
        <v>0</v>
      </c>
      <c r="X44" s="1">
        <v>1599.57</v>
      </c>
      <c r="Y44" s="1">
        <v>0</v>
      </c>
      <c r="Z44" s="1">
        <v>1599.57</v>
      </c>
      <c r="AA44" s="33">
        <v>0</v>
      </c>
      <c r="AB44" s="33">
        <v>17578.02</v>
      </c>
      <c r="AC44" s="33">
        <v>0</v>
      </c>
      <c r="AD44" s="33">
        <v>1599.57</v>
      </c>
      <c r="AE44" s="33">
        <v>0</v>
      </c>
      <c r="AF44" s="33">
        <v>1599.57</v>
      </c>
      <c r="AG44" s="1">
        <v>0</v>
      </c>
      <c r="AH44" s="1">
        <v>2759.98</v>
      </c>
      <c r="AI44" s="1">
        <v>0</v>
      </c>
      <c r="AJ44" s="1">
        <v>1599.57</v>
      </c>
      <c r="AK44" s="1">
        <v>0</v>
      </c>
      <c r="AL44" s="1">
        <v>1599.57</v>
      </c>
      <c r="AM44" s="9">
        <f t="shared" si="9"/>
        <v>0</v>
      </c>
      <c r="AN44" s="9">
        <f t="shared" si="10"/>
        <v>45175.89000000001</v>
      </c>
      <c r="AO44" s="248">
        <f t="shared" si="11"/>
        <v>45175.89000000001</v>
      </c>
      <c r="AP44" s="10"/>
      <c r="AQ44" s="10">
        <v>4977</v>
      </c>
      <c r="AR44" s="10"/>
      <c r="AS44" s="10"/>
      <c r="AT44" s="163">
        <f t="shared" si="12"/>
        <v>50152.89000000001</v>
      </c>
      <c r="AU44" s="2"/>
      <c r="AV44" s="2"/>
      <c r="AW44" s="168">
        <v>13836</v>
      </c>
      <c r="AX44" s="21">
        <f t="shared" si="4"/>
        <v>-24956.952000000005</v>
      </c>
      <c r="AY44" s="26">
        <v>6256.59</v>
      </c>
    </row>
    <row r="45" spans="1:51" ht="15.75">
      <c r="A45" s="1">
        <v>37</v>
      </c>
      <c r="B45" s="1" t="s">
        <v>64</v>
      </c>
      <c r="C45" s="1">
        <v>515.8</v>
      </c>
      <c r="D45" s="1">
        <v>0</v>
      </c>
      <c r="E45" s="1">
        <f t="shared" si="14"/>
        <v>515.8</v>
      </c>
      <c r="F45" s="2">
        <v>9.38</v>
      </c>
      <c r="G45" s="2">
        <f t="shared" si="1"/>
        <v>4838.204</v>
      </c>
      <c r="H45" s="2">
        <f t="shared" si="5"/>
        <v>29029.224</v>
      </c>
      <c r="I45" s="2">
        <f t="shared" si="6"/>
        <v>9.38</v>
      </c>
      <c r="J45" s="2">
        <f t="shared" si="7"/>
        <v>4838.204</v>
      </c>
      <c r="K45" s="2">
        <f t="shared" si="8"/>
        <v>29029.224</v>
      </c>
      <c r="L45" s="13">
        <f t="shared" si="2"/>
        <v>58058.448</v>
      </c>
      <c r="M45" s="139">
        <v>-125060.84</v>
      </c>
      <c r="N45" s="34">
        <f t="shared" si="3"/>
        <v>-67002.39199999999</v>
      </c>
      <c r="O45" s="152">
        <v>0</v>
      </c>
      <c r="P45" s="152">
        <v>1573.67</v>
      </c>
      <c r="Q45" s="1">
        <v>0</v>
      </c>
      <c r="R45" s="1">
        <v>3856.88</v>
      </c>
      <c r="S45" s="1">
        <v>0</v>
      </c>
      <c r="T45" s="1">
        <v>1325.61</v>
      </c>
      <c r="U45" s="33">
        <v>0</v>
      </c>
      <c r="V45" s="33">
        <v>1905.61</v>
      </c>
      <c r="W45" s="1">
        <v>0</v>
      </c>
      <c r="X45" s="1">
        <v>1325.61</v>
      </c>
      <c r="Y45" s="1">
        <v>0</v>
      </c>
      <c r="Z45" s="1">
        <v>1325.61</v>
      </c>
      <c r="AA45" s="33">
        <v>0</v>
      </c>
      <c r="AB45" s="33">
        <v>1595.61</v>
      </c>
      <c r="AC45" s="33">
        <v>0</v>
      </c>
      <c r="AD45" s="33">
        <v>1325.61</v>
      </c>
      <c r="AE45" s="33">
        <v>0</v>
      </c>
      <c r="AF45" s="33">
        <v>1325.61</v>
      </c>
      <c r="AG45" s="1">
        <v>0</v>
      </c>
      <c r="AH45" s="1">
        <v>2141.27</v>
      </c>
      <c r="AI45" s="1">
        <v>0</v>
      </c>
      <c r="AJ45" s="1">
        <v>1415.61</v>
      </c>
      <c r="AK45" s="1">
        <v>0</v>
      </c>
      <c r="AL45" s="1">
        <v>2461.84</v>
      </c>
      <c r="AM45" s="9">
        <f t="shared" si="9"/>
        <v>0</v>
      </c>
      <c r="AN45" s="9">
        <f t="shared" si="10"/>
        <v>21578.540000000005</v>
      </c>
      <c r="AO45" s="248">
        <f t="shared" si="11"/>
        <v>21578.540000000005</v>
      </c>
      <c r="AP45" s="10"/>
      <c r="AQ45" s="10"/>
      <c r="AR45" s="10"/>
      <c r="AS45" s="10"/>
      <c r="AT45" s="163">
        <f t="shared" si="12"/>
        <v>21578.540000000005</v>
      </c>
      <c r="AU45" s="2"/>
      <c r="AV45" s="2"/>
      <c r="AW45" s="168"/>
      <c r="AX45" s="21">
        <f t="shared" si="4"/>
        <v>-88580.932</v>
      </c>
      <c r="AY45" s="26">
        <f>501160.24+1059.3</f>
        <v>502219.54</v>
      </c>
    </row>
    <row r="46" spans="1:78" s="18" customFormat="1" ht="15.75" customHeight="1">
      <c r="A46" s="1">
        <v>38</v>
      </c>
      <c r="B46" s="1" t="s">
        <v>65</v>
      </c>
      <c r="C46" s="1">
        <v>507.4</v>
      </c>
      <c r="D46" s="1">
        <v>0</v>
      </c>
      <c r="E46" s="1">
        <f t="shared" si="14"/>
        <v>507.4</v>
      </c>
      <c r="F46" s="2">
        <v>9.38</v>
      </c>
      <c r="G46" s="2">
        <f t="shared" si="1"/>
        <v>4759.412</v>
      </c>
      <c r="H46" s="2">
        <f t="shared" si="5"/>
        <v>28556.472</v>
      </c>
      <c r="I46" s="2">
        <f t="shared" si="6"/>
        <v>9.38</v>
      </c>
      <c r="J46" s="2">
        <f t="shared" si="7"/>
        <v>4759.412</v>
      </c>
      <c r="K46" s="2">
        <f t="shared" si="8"/>
        <v>28556.472</v>
      </c>
      <c r="L46" s="13">
        <f t="shared" si="2"/>
        <v>57112.944</v>
      </c>
      <c r="M46" s="139">
        <v>-208844.79</v>
      </c>
      <c r="N46" s="34">
        <f t="shared" si="3"/>
        <v>-151731.84600000002</v>
      </c>
      <c r="O46" s="152">
        <v>0</v>
      </c>
      <c r="P46" s="152">
        <v>1304.02</v>
      </c>
      <c r="Q46" s="1">
        <v>0</v>
      </c>
      <c r="R46" s="1">
        <v>1304.02</v>
      </c>
      <c r="S46" s="1">
        <v>0</v>
      </c>
      <c r="T46" s="1">
        <v>1304.02</v>
      </c>
      <c r="U46" s="33">
        <v>0</v>
      </c>
      <c r="V46" s="33">
        <v>1884.02</v>
      </c>
      <c r="W46" s="1">
        <v>0</v>
      </c>
      <c r="X46" s="1">
        <v>1304.02</v>
      </c>
      <c r="Y46" s="1">
        <v>0</v>
      </c>
      <c r="Z46" s="1">
        <v>1304.02</v>
      </c>
      <c r="AA46" s="33">
        <v>0</v>
      </c>
      <c r="AB46" s="33">
        <v>1304.02</v>
      </c>
      <c r="AC46" s="33">
        <v>0</v>
      </c>
      <c r="AD46" s="33">
        <v>1304.02</v>
      </c>
      <c r="AE46" s="33">
        <v>0</v>
      </c>
      <c r="AF46" s="33">
        <v>1304.02</v>
      </c>
      <c r="AG46" s="1">
        <v>0</v>
      </c>
      <c r="AH46" s="1">
        <v>2209.68</v>
      </c>
      <c r="AI46" s="1">
        <v>0</v>
      </c>
      <c r="AJ46" s="1">
        <v>1304.02</v>
      </c>
      <c r="AK46" s="1">
        <v>0</v>
      </c>
      <c r="AL46" s="1">
        <v>1304.02</v>
      </c>
      <c r="AM46" s="9">
        <f t="shared" si="9"/>
        <v>0</v>
      </c>
      <c r="AN46" s="9">
        <f t="shared" si="10"/>
        <v>17133.9</v>
      </c>
      <c r="AO46" s="248">
        <f t="shared" si="11"/>
        <v>17133.9</v>
      </c>
      <c r="AP46" s="10"/>
      <c r="AQ46" s="10"/>
      <c r="AR46" s="10"/>
      <c r="AS46" s="10"/>
      <c r="AT46" s="163">
        <f t="shared" si="12"/>
        <v>17133.9</v>
      </c>
      <c r="AU46" s="2"/>
      <c r="AV46" s="2"/>
      <c r="AW46" s="168"/>
      <c r="AX46" s="21">
        <f t="shared" si="4"/>
        <v>-168865.746</v>
      </c>
      <c r="AY46" s="26">
        <f>353777.49+21559.37</f>
        <v>375336.86</v>
      </c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</row>
    <row r="47" spans="1:51" ht="15.75">
      <c r="A47" s="1">
        <v>39</v>
      </c>
      <c r="B47" s="1" t="s">
        <v>66</v>
      </c>
      <c r="C47" s="1">
        <v>885.2</v>
      </c>
      <c r="D47" s="1">
        <v>79.2</v>
      </c>
      <c r="E47" s="1">
        <f t="shared" si="14"/>
        <v>964.4000000000001</v>
      </c>
      <c r="F47" s="2">
        <v>14.81</v>
      </c>
      <c r="G47" s="2">
        <f t="shared" si="1"/>
        <v>14282.764000000001</v>
      </c>
      <c r="H47" s="2">
        <f t="shared" si="5"/>
        <v>85696.584</v>
      </c>
      <c r="I47" s="2">
        <f t="shared" si="6"/>
        <v>14.81</v>
      </c>
      <c r="J47" s="2">
        <f t="shared" si="7"/>
        <v>14282.764000000001</v>
      </c>
      <c r="K47" s="2">
        <f t="shared" si="8"/>
        <v>85696.584</v>
      </c>
      <c r="L47" s="13">
        <f t="shared" si="2"/>
        <v>171393.168</v>
      </c>
      <c r="M47" s="139"/>
      <c r="N47" s="34">
        <f t="shared" si="3"/>
        <v>171393.168</v>
      </c>
      <c r="O47" s="152">
        <v>0</v>
      </c>
      <c r="P47" s="152">
        <v>11654.77</v>
      </c>
      <c r="Q47" s="1">
        <v>0</v>
      </c>
      <c r="R47" s="1">
        <v>14828.81</v>
      </c>
      <c r="S47" s="1">
        <v>0</v>
      </c>
      <c r="T47" s="1">
        <v>18184.35</v>
      </c>
      <c r="U47" s="33">
        <v>0</v>
      </c>
      <c r="V47" s="33">
        <v>16279.35</v>
      </c>
      <c r="W47" s="1">
        <v>0</v>
      </c>
      <c r="X47" s="1">
        <v>6488.96</v>
      </c>
      <c r="Y47" s="1">
        <v>0</v>
      </c>
      <c r="Z47" s="1">
        <v>15677.68</v>
      </c>
      <c r="AA47" s="33">
        <v>0</v>
      </c>
      <c r="AB47" s="33">
        <v>10333.77</v>
      </c>
      <c r="AC47" s="33">
        <v>0</v>
      </c>
      <c r="AD47" s="33">
        <v>8551.46</v>
      </c>
      <c r="AE47" s="33">
        <v>0</v>
      </c>
      <c r="AF47" s="33">
        <v>6488.96</v>
      </c>
      <c r="AG47" s="1">
        <v>0</v>
      </c>
      <c r="AH47" s="1">
        <v>8742.96</v>
      </c>
      <c r="AI47" s="1">
        <v>0</v>
      </c>
      <c r="AJ47" s="1">
        <v>4483</v>
      </c>
      <c r="AK47" s="1">
        <v>0</v>
      </c>
      <c r="AL47" s="1">
        <v>4871.99</v>
      </c>
      <c r="AM47" s="9">
        <f t="shared" si="9"/>
        <v>0</v>
      </c>
      <c r="AN47" s="9">
        <f t="shared" si="10"/>
        <v>126586.06000000004</v>
      </c>
      <c r="AO47" s="248">
        <f t="shared" si="11"/>
        <v>126586.06000000004</v>
      </c>
      <c r="AP47" s="10"/>
      <c r="AQ47" s="10"/>
      <c r="AR47" s="10">
        <v>491.68</v>
      </c>
      <c r="AS47" s="10"/>
      <c r="AT47" s="163">
        <f t="shared" si="12"/>
        <v>127077.74000000003</v>
      </c>
      <c r="AU47" s="2"/>
      <c r="AV47" s="2"/>
      <c r="AW47" s="168">
        <v>4128</v>
      </c>
      <c r="AX47" s="21">
        <f t="shared" si="4"/>
        <v>48443.42799999997</v>
      </c>
      <c r="AY47" s="26">
        <v>45739.38</v>
      </c>
    </row>
    <row r="48" spans="1:51" ht="15.75">
      <c r="A48" s="1">
        <v>40</v>
      </c>
      <c r="B48" s="1" t="s">
        <v>67</v>
      </c>
      <c r="C48" s="1">
        <v>556.9</v>
      </c>
      <c r="D48" s="1">
        <v>0</v>
      </c>
      <c r="E48" s="1">
        <f t="shared" si="14"/>
        <v>556.9</v>
      </c>
      <c r="F48" s="2">
        <v>15.02</v>
      </c>
      <c r="G48" s="2">
        <f t="shared" si="1"/>
        <v>8364.637999999999</v>
      </c>
      <c r="H48" s="2">
        <f t="shared" si="5"/>
        <v>50187.827999999994</v>
      </c>
      <c r="I48" s="2">
        <f t="shared" si="6"/>
        <v>15.02</v>
      </c>
      <c r="J48" s="2">
        <f t="shared" si="7"/>
        <v>8364.637999999999</v>
      </c>
      <c r="K48" s="2">
        <f t="shared" si="8"/>
        <v>50187.827999999994</v>
      </c>
      <c r="L48" s="13">
        <f t="shared" si="2"/>
        <v>100375.65599999999</v>
      </c>
      <c r="M48" s="139"/>
      <c r="N48" s="34">
        <f t="shared" si="3"/>
        <v>100375.65599999999</v>
      </c>
      <c r="O48" s="152">
        <v>0</v>
      </c>
      <c r="P48" s="152">
        <v>2607.96</v>
      </c>
      <c r="Q48" s="1">
        <v>0</v>
      </c>
      <c r="R48" s="1">
        <v>31704.47</v>
      </c>
      <c r="S48" s="1">
        <v>0</v>
      </c>
      <c r="T48" s="1">
        <v>7935.96</v>
      </c>
      <c r="U48" s="33">
        <v>0</v>
      </c>
      <c r="V48" s="33">
        <v>3767.96</v>
      </c>
      <c r="W48" s="1">
        <v>0</v>
      </c>
      <c r="X48" s="1">
        <v>3421.04</v>
      </c>
      <c r="Y48" s="1">
        <v>0</v>
      </c>
      <c r="Z48" s="1">
        <v>12609.76</v>
      </c>
      <c r="AA48" s="33">
        <v>0</v>
      </c>
      <c r="AB48" s="33">
        <v>6982.35</v>
      </c>
      <c r="AC48" s="33">
        <v>0</v>
      </c>
      <c r="AD48" s="33">
        <v>5021.54</v>
      </c>
      <c r="AE48" s="33">
        <v>0</v>
      </c>
      <c r="AF48" s="33">
        <v>3421.04</v>
      </c>
      <c r="AG48" s="1">
        <v>0</v>
      </c>
      <c r="AH48" s="1">
        <v>5590.7</v>
      </c>
      <c r="AI48" s="1">
        <v>0</v>
      </c>
      <c r="AJ48" s="1">
        <v>4855</v>
      </c>
      <c r="AK48" s="1">
        <v>0</v>
      </c>
      <c r="AL48" s="1">
        <v>2996.95</v>
      </c>
      <c r="AM48" s="9">
        <f t="shared" si="9"/>
        <v>0</v>
      </c>
      <c r="AN48" s="9">
        <f t="shared" si="10"/>
        <v>90914.72999999998</v>
      </c>
      <c r="AO48" s="248">
        <f t="shared" si="11"/>
        <v>90914.72999999998</v>
      </c>
      <c r="AP48" s="10"/>
      <c r="AQ48" s="10"/>
      <c r="AR48" s="10"/>
      <c r="AS48" s="10"/>
      <c r="AT48" s="163">
        <f t="shared" si="12"/>
        <v>90914.72999999998</v>
      </c>
      <c r="AU48" s="2"/>
      <c r="AV48" s="2"/>
      <c r="AW48" s="168">
        <v>6536</v>
      </c>
      <c r="AX48" s="21">
        <f t="shared" si="4"/>
        <v>15996.926000000007</v>
      </c>
      <c r="AY48" s="26">
        <v>12310.48</v>
      </c>
    </row>
    <row r="49" spans="1:51" ht="15.75" customHeight="1">
      <c r="A49" s="1">
        <v>41</v>
      </c>
      <c r="B49" s="101" t="s">
        <v>467</v>
      </c>
      <c r="C49" s="1">
        <v>159.9</v>
      </c>
      <c r="D49" s="1">
        <v>0</v>
      </c>
      <c r="E49" s="1">
        <v>159.9</v>
      </c>
      <c r="F49" s="2">
        <v>7.69</v>
      </c>
      <c r="G49" s="2">
        <f t="shared" si="1"/>
        <v>1229.631</v>
      </c>
      <c r="H49" s="2">
        <f t="shared" si="5"/>
        <v>7377.786</v>
      </c>
      <c r="I49" s="2">
        <f t="shared" si="6"/>
        <v>7.69</v>
      </c>
      <c r="J49" s="2">
        <f t="shared" si="7"/>
        <v>1229.631</v>
      </c>
      <c r="K49" s="143">
        <f>J49*2</f>
        <v>2459.262</v>
      </c>
      <c r="L49" s="13">
        <f t="shared" si="2"/>
        <v>9837.048</v>
      </c>
      <c r="M49" s="139"/>
      <c r="N49" s="34">
        <f t="shared" si="3"/>
        <v>9837.048</v>
      </c>
      <c r="O49" s="152">
        <v>0</v>
      </c>
      <c r="P49" s="152">
        <v>410.94</v>
      </c>
      <c r="Q49" s="1">
        <v>0</v>
      </c>
      <c r="R49" s="1">
        <v>410.94</v>
      </c>
      <c r="S49" s="1">
        <v>0</v>
      </c>
      <c r="T49" s="1">
        <v>410.94</v>
      </c>
      <c r="U49" s="33">
        <v>0</v>
      </c>
      <c r="V49" s="33">
        <v>990.94</v>
      </c>
      <c r="W49" s="1">
        <v>0</v>
      </c>
      <c r="X49" s="1">
        <v>410.94</v>
      </c>
      <c r="Y49" s="1">
        <v>0</v>
      </c>
      <c r="Z49" s="1">
        <v>410.94</v>
      </c>
      <c r="AA49" s="33">
        <v>0</v>
      </c>
      <c r="AB49" s="33">
        <v>410.94</v>
      </c>
      <c r="AC49" s="33">
        <v>0</v>
      </c>
      <c r="AD49" s="33">
        <v>410.94</v>
      </c>
      <c r="AE49" s="184">
        <v>0</v>
      </c>
      <c r="AF49" s="184">
        <v>0</v>
      </c>
      <c r="AG49" s="183">
        <v>0</v>
      </c>
      <c r="AH49" s="183">
        <v>0</v>
      </c>
      <c r="AI49" s="183">
        <v>0</v>
      </c>
      <c r="AJ49" s="183">
        <v>0</v>
      </c>
      <c r="AK49" s="183">
        <v>0</v>
      </c>
      <c r="AL49" s="183">
        <v>0</v>
      </c>
      <c r="AM49" s="9">
        <f t="shared" si="9"/>
        <v>0</v>
      </c>
      <c r="AN49" s="9">
        <f t="shared" si="10"/>
        <v>3867.5200000000004</v>
      </c>
      <c r="AO49" s="248">
        <f t="shared" si="11"/>
        <v>3867.5200000000004</v>
      </c>
      <c r="AP49" s="10"/>
      <c r="AQ49" s="10"/>
      <c r="AR49" s="10"/>
      <c r="AS49" s="10"/>
      <c r="AT49" s="163">
        <f t="shared" si="12"/>
        <v>3867.5200000000004</v>
      </c>
      <c r="AU49" s="2"/>
      <c r="AV49" s="2"/>
      <c r="AW49" s="168"/>
      <c r="AX49" s="21">
        <f t="shared" si="4"/>
        <v>5969.528</v>
      </c>
      <c r="AY49" s="189">
        <v>111251.81</v>
      </c>
    </row>
    <row r="50" spans="1:51" ht="15.75">
      <c r="A50" s="1">
        <v>42</v>
      </c>
      <c r="B50" s="1" t="s">
        <v>68</v>
      </c>
      <c r="C50" s="1">
        <v>575.8</v>
      </c>
      <c r="D50" s="1">
        <v>71.7</v>
      </c>
      <c r="E50" s="1">
        <f aca="true" t="shared" si="15" ref="E50:E89">C50+D50</f>
        <v>647.5</v>
      </c>
      <c r="F50" s="2">
        <v>9.16</v>
      </c>
      <c r="G50" s="2">
        <f t="shared" si="1"/>
        <v>5931.1</v>
      </c>
      <c r="H50" s="2">
        <f t="shared" si="5"/>
        <v>35586.600000000006</v>
      </c>
      <c r="I50" s="2">
        <f t="shared" si="6"/>
        <v>9.16</v>
      </c>
      <c r="J50" s="2">
        <f t="shared" si="7"/>
        <v>5931.1</v>
      </c>
      <c r="K50" s="2">
        <f t="shared" si="8"/>
        <v>35586.600000000006</v>
      </c>
      <c r="L50" s="13">
        <f t="shared" si="2"/>
        <v>71173.20000000001</v>
      </c>
      <c r="M50" s="139"/>
      <c r="N50" s="34">
        <f t="shared" si="3"/>
        <v>71173.20000000001</v>
      </c>
      <c r="O50" s="152">
        <v>0</v>
      </c>
      <c r="P50" s="152">
        <v>20234.08</v>
      </c>
      <c r="Q50" s="1">
        <v>0</v>
      </c>
      <c r="R50" s="1">
        <v>5531.29</v>
      </c>
      <c r="S50" s="1">
        <v>0</v>
      </c>
      <c r="T50" s="1">
        <v>6415.8</v>
      </c>
      <c r="U50" s="33">
        <v>0</v>
      </c>
      <c r="V50" s="33">
        <v>48015.37</v>
      </c>
      <c r="W50" s="1">
        <v>0</v>
      </c>
      <c r="X50" s="1">
        <v>4522.82</v>
      </c>
      <c r="Y50" s="1">
        <v>0</v>
      </c>
      <c r="Z50" s="1">
        <v>1894.08</v>
      </c>
      <c r="AA50" s="33">
        <v>0</v>
      </c>
      <c r="AB50" s="33">
        <v>1894.08</v>
      </c>
      <c r="AC50" s="33">
        <v>0</v>
      </c>
      <c r="AD50" s="33">
        <v>5982.07</v>
      </c>
      <c r="AE50" s="33">
        <v>0</v>
      </c>
      <c r="AF50" s="33">
        <v>2380.58</v>
      </c>
      <c r="AG50" s="1">
        <v>0</v>
      </c>
      <c r="AH50" s="1">
        <v>16116.28</v>
      </c>
      <c r="AI50" s="1">
        <v>0</v>
      </c>
      <c r="AJ50" s="1">
        <v>1894.08</v>
      </c>
      <c r="AK50" s="1">
        <v>0</v>
      </c>
      <c r="AL50" s="1">
        <v>1894.08</v>
      </c>
      <c r="AM50" s="9">
        <f t="shared" si="9"/>
        <v>0</v>
      </c>
      <c r="AN50" s="9">
        <f t="shared" si="10"/>
        <v>116774.61000000003</v>
      </c>
      <c r="AO50" s="248">
        <f t="shared" si="11"/>
        <v>116774.61000000003</v>
      </c>
      <c r="AP50" s="10"/>
      <c r="AQ50" s="10"/>
      <c r="AR50" s="10"/>
      <c r="AS50" s="10"/>
      <c r="AT50" s="163">
        <f t="shared" si="12"/>
        <v>116774.61000000003</v>
      </c>
      <c r="AU50" s="2"/>
      <c r="AV50" s="2"/>
      <c r="AW50" s="168">
        <v>13836</v>
      </c>
      <c r="AX50" s="21">
        <f t="shared" si="4"/>
        <v>-31765.410000000018</v>
      </c>
      <c r="AY50" s="26">
        <v>4982.35</v>
      </c>
    </row>
    <row r="51" spans="1:51" ht="15.75">
      <c r="A51" s="1">
        <v>43</v>
      </c>
      <c r="B51" s="1" t="s">
        <v>69</v>
      </c>
      <c r="C51" s="1">
        <v>1529</v>
      </c>
      <c r="D51" s="1">
        <v>84.5</v>
      </c>
      <c r="E51" s="1">
        <f t="shared" si="15"/>
        <v>1613.5</v>
      </c>
      <c r="F51" s="2">
        <v>13.97</v>
      </c>
      <c r="G51" s="2">
        <f t="shared" si="1"/>
        <v>22540.595</v>
      </c>
      <c r="H51" s="2">
        <f t="shared" si="5"/>
        <v>135243.57</v>
      </c>
      <c r="I51" s="2">
        <f t="shared" si="6"/>
        <v>13.97</v>
      </c>
      <c r="J51" s="2">
        <f t="shared" si="7"/>
        <v>22540.595</v>
      </c>
      <c r="K51" s="2">
        <f t="shared" si="8"/>
        <v>135243.57</v>
      </c>
      <c r="L51" s="13">
        <f t="shared" si="2"/>
        <v>270487.14</v>
      </c>
      <c r="M51" s="139">
        <v>-55249.18</v>
      </c>
      <c r="N51" s="34">
        <f t="shared" si="3"/>
        <v>215237.96000000002</v>
      </c>
      <c r="O51" s="152">
        <v>0</v>
      </c>
      <c r="P51" s="152">
        <v>15694.08</v>
      </c>
      <c r="Q51" s="1">
        <v>0</v>
      </c>
      <c r="R51" s="1">
        <v>4376.7</v>
      </c>
      <c r="S51" s="1">
        <v>0</v>
      </c>
      <c r="T51" s="1">
        <v>5447.25</v>
      </c>
      <c r="U51" s="33">
        <v>0</v>
      </c>
      <c r="V51" s="33">
        <v>5536.7</v>
      </c>
      <c r="W51" s="1">
        <v>0</v>
      </c>
      <c r="X51" s="1">
        <v>5386.6</v>
      </c>
      <c r="Y51" s="1">
        <v>0</v>
      </c>
      <c r="Z51" s="1">
        <v>4376.7</v>
      </c>
      <c r="AA51" s="33">
        <v>0</v>
      </c>
      <c r="AB51" s="33">
        <v>4376.7</v>
      </c>
      <c r="AC51" s="33">
        <v>0</v>
      </c>
      <c r="AD51" s="33">
        <v>6926.45</v>
      </c>
      <c r="AE51" s="33">
        <v>0</v>
      </c>
      <c r="AF51" s="33">
        <v>6077.7</v>
      </c>
      <c r="AG51" s="1">
        <v>0</v>
      </c>
      <c r="AH51" s="1">
        <v>9804.03</v>
      </c>
      <c r="AI51" s="1">
        <v>0</v>
      </c>
      <c r="AJ51" s="1">
        <v>5006.7</v>
      </c>
      <c r="AK51" s="1">
        <v>0</v>
      </c>
      <c r="AL51" s="1">
        <v>4773.31</v>
      </c>
      <c r="AM51" s="9">
        <f t="shared" si="9"/>
        <v>0</v>
      </c>
      <c r="AN51" s="9">
        <f t="shared" si="10"/>
        <v>77782.91999999998</v>
      </c>
      <c r="AO51" s="248">
        <f t="shared" si="11"/>
        <v>77782.91999999998</v>
      </c>
      <c r="AP51" s="10"/>
      <c r="AQ51" s="10"/>
      <c r="AR51" s="10"/>
      <c r="AS51" s="10"/>
      <c r="AT51" s="163">
        <f t="shared" si="12"/>
        <v>77782.91999999998</v>
      </c>
      <c r="AU51" s="2"/>
      <c r="AV51" s="2"/>
      <c r="AW51" s="168"/>
      <c r="AX51" s="21">
        <f t="shared" si="4"/>
        <v>137455.04000000004</v>
      </c>
      <c r="AY51" s="26">
        <v>173421.86</v>
      </c>
    </row>
    <row r="52" spans="1:78" s="18" customFormat="1" ht="15.75">
      <c r="A52" s="1">
        <v>44</v>
      </c>
      <c r="B52" s="1" t="s">
        <v>70</v>
      </c>
      <c r="C52" s="1">
        <v>614.1</v>
      </c>
      <c r="D52" s="1">
        <v>45.2</v>
      </c>
      <c r="E52" s="1">
        <f t="shared" si="15"/>
        <v>659.3000000000001</v>
      </c>
      <c r="F52" s="2">
        <v>9.16</v>
      </c>
      <c r="G52" s="2">
        <f t="shared" si="1"/>
        <v>6039.188000000001</v>
      </c>
      <c r="H52" s="2">
        <f t="shared" si="5"/>
        <v>36235.128000000004</v>
      </c>
      <c r="I52" s="2">
        <f t="shared" si="6"/>
        <v>9.16</v>
      </c>
      <c r="J52" s="2">
        <f t="shared" si="7"/>
        <v>6039.188000000001</v>
      </c>
      <c r="K52" s="2">
        <f t="shared" si="8"/>
        <v>36235.128000000004</v>
      </c>
      <c r="L52" s="13">
        <f t="shared" si="2"/>
        <v>72470.25600000001</v>
      </c>
      <c r="M52" s="139">
        <v>-190626.91</v>
      </c>
      <c r="N52" s="34">
        <f t="shared" si="3"/>
        <v>-118156.654</v>
      </c>
      <c r="O52" s="152">
        <v>0</v>
      </c>
      <c r="P52" s="152">
        <v>20264.4</v>
      </c>
      <c r="Q52" s="1">
        <v>0</v>
      </c>
      <c r="R52" s="1">
        <v>6186.62</v>
      </c>
      <c r="S52" s="1">
        <v>0</v>
      </c>
      <c r="T52" s="1">
        <v>1924.4</v>
      </c>
      <c r="U52" s="33">
        <v>0</v>
      </c>
      <c r="V52" s="33">
        <v>3084.4</v>
      </c>
      <c r="W52" s="1">
        <v>0</v>
      </c>
      <c r="X52" s="1">
        <v>1924.4</v>
      </c>
      <c r="Y52" s="1">
        <v>0</v>
      </c>
      <c r="Z52" s="1">
        <v>1924.4</v>
      </c>
      <c r="AA52" s="33">
        <v>0</v>
      </c>
      <c r="AB52" s="33">
        <v>1924.4</v>
      </c>
      <c r="AC52" s="33">
        <v>0</v>
      </c>
      <c r="AD52" s="33">
        <v>4474.15</v>
      </c>
      <c r="AE52" s="33">
        <v>0</v>
      </c>
      <c r="AF52" s="33">
        <v>5245.99</v>
      </c>
      <c r="AG52" s="1">
        <v>0</v>
      </c>
      <c r="AH52" s="1">
        <v>3084.81</v>
      </c>
      <c r="AI52" s="1">
        <v>0</v>
      </c>
      <c r="AJ52" s="1">
        <v>2858.44</v>
      </c>
      <c r="AK52" s="1">
        <v>0</v>
      </c>
      <c r="AL52" s="1">
        <v>9445.03</v>
      </c>
      <c r="AM52" s="9">
        <f t="shared" si="9"/>
        <v>0</v>
      </c>
      <c r="AN52" s="9">
        <f t="shared" si="10"/>
        <v>62341.44</v>
      </c>
      <c r="AO52" s="248">
        <f t="shared" si="11"/>
        <v>62341.44</v>
      </c>
      <c r="AP52" s="10"/>
      <c r="AQ52" s="10">
        <v>4470</v>
      </c>
      <c r="AR52" s="10"/>
      <c r="AS52" s="10"/>
      <c r="AT52" s="163">
        <f t="shared" si="12"/>
        <v>66811.44</v>
      </c>
      <c r="AU52" s="2"/>
      <c r="AV52" s="2"/>
      <c r="AW52" s="168">
        <v>13836</v>
      </c>
      <c r="AX52" s="21">
        <f t="shared" si="4"/>
        <v>-171132.09399999998</v>
      </c>
      <c r="AY52" s="26">
        <v>118175.39</v>
      </c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</row>
    <row r="53" spans="1:51" ht="15.75" customHeight="1">
      <c r="A53" s="1">
        <v>45</v>
      </c>
      <c r="B53" s="1" t="s">
        <v>71</v>
      </c>
      <c r="C53" s="1">
        <v>1639.6</v>
      </c>
      <c r="D53" s="1">
        <v>149.1</v>
      </c>
      <c r="E53" s="1">
        <f t="shared" si="15"/>
        <v>1788.6999999999998</v>
      </c>
      <c r="F53" s="2">
        <v>13.87</v>
      </c>
      <c r="G53" s="2">
        <f t="shared" si="1"/>
        <v>24809.268999999997</v>
      </c>
      <c r="H53" s="2">
        <f t="shared" si="5"/>
        <v>148855.61399999997</v>
      </c>
      <c r="I53" s="2">
        <f t="shared" si="6"/>
        <v>13.87</v>
      </c>
      <c r="J53" s="2">
        <f t="shared" si="7"/>
        <v>24809.268999999997</v>
      </c>
      <c r="K53" s="2">
        <f t="shared" si="8"/>
        <v>148855.61399999997</v>
      </c>
      <c r="L53" s="13">
        <f t="shared" si="2"/>
        <v>297711.22799999994</v>
      </c>
      <c r="M53" s="139">
        <v>-205720.77</v>
      </c>
      <c r="N53" s="34">
        <f t="shared" si="3"/>
        <v>91990.45799999996</v>
      </c>
      <c r="O53" s="152">
        <v>0</v>
      </c>
      <c r="P53" s="152">
        <v>37667.75</v>
      </c>
      <c r="Q53" s="1">
        <v>0</v>
      </c>
      <c r="R53" s="1">
        <v>9857.51</v>
      </c>
      <c r="S53" s="1">
        <v>0</v>
      </c>
      <c r="T53" s="1">
        <v>35655.37</v>
      </c>
      <c r="U53" s="33">
        <v>0</v>
      </c>
      <c r="V53" s="33">
        <v>9027.75</v>
      </c>
      <c r="W53" s="1">
        <v>0</v>
      </c>
      <c r="X53" s="1">
        <v>10479.25</v>
      </c>
      <c r="Y53" s="1">
        <v>0</v>
      </c>
      <c r="Z53" s="1">
        <v>11839.91</v>
      </c>
      <c r="AA53" s="33">
        <v>0</v>
      </c>
      <c r="AB53" s="33">
        <v>16885.45</v>
      </c>
      <c r="AC53" s="33">
        <v>0</v>
      </c>
      <c r="AD53" s="33">
        <v>18784.82</v>
      </c>
      <c r="AE53" s="33">
        <v>0</v>
      </c>
      <c r="AF53" s="33">
        <v>11798.75</v>
      </c>
      <c r="AG53" s="1">
        <v>0</v>
      </c>
      <c r="AH53" s="1">
        <v>11275.2</v>
      </c>
      <c r="AI53" s="1">
        <v>0</v>
      </c>
      <c r="AJ53" s="1">
        <v>9942.3</v>
      </c>
      <c r="AK53" s="1">
        <v>0</v>
      </c>
      <c r="AL53" s="1">
        <v>8976.57</v>
      </c>
      <c r="AM53" s="9">
        <f t="shared" si="9"/>
        <v>0</v>
      </c>
      <c r="AN53" s="9">
        <f t="shared" si="10"/>
        <v>192190.63000000003</v>
      </c>
      <c r="AO53" s="248">
        <f t="shared" si="11"/>
        <v>192190.63000000003</v>
      </c>
      <c r="AP53" s="10"/>
      <c r="AQ53" s="10">
        <v>12580</v>
      </c>
      <c r="AR53" s="10"/>
      <c r="AS53" s="10"/>
      <c r="AT53" s="163">
        <f t="shared" si="12"/>
        <v>204770.63000000003</v>
      </c>
      <c r="AU53" s="2">
        <v>101556</v>
      </c>
      <c r="AV53" s="2"/>
      <c r="AW53" s="168">
        <v>2408</v>
      </c>
      <c r="AX53" s="21">
        <f t="shared" si="4"/>
        <v>-8816.172000000079</v>
      </c>
      <c r="AY53" s="26">
        <v>142536.45</v>
      </c>
    </row>
    <row r="54" spans="1:51" ht="15.75" customHeight="1">
      <c r="A54" s="1">
        <v>46</v>
      </c>
      <c r="B54" s="1" t="s">
        <v>72</v>
      </c>
      <c r="C54" s="1">
        <v>1852.7</v>
      </c>
      <c r="D54" s="1">
        <v>159.2</v>
      </c>
      <c r="E54" s="1">
        <f t="shared" si="15"/>
        <v>2011.9</v>
      </c>
      <c r="F54" s="2">
        <v>13.34</v>
      </c>
      <c r="G54" s="2">
        <f t="shared" si="1"/>
        <v>26838.746</v>
      </c>
      <c r="H54" s="2">
        <f t="shared" si="5"/>
        <v>161032.476</v>
      </c>
      <c r="I54" s="2">
        <f t="shared" si="6"/>
        <v>13.34</v>
      </c>
      <c r="J54" s="2">
        <f t="shared" si="7"/>
        <v>26838.746</v>
      </c>
      <c r="K54" s="2">
        <f t="shared" si="8"/>
        <v>161032.476</v>
      </c>
      <c r="L54" s="13">
        <f t="shared" si="2"/>
        <v>322064.952</v>
      </c>
      <c r="M54" s="139"/>
      <c r="N54" s="34">
        <f t="shared" si="3"/>
        <v>322064.952</v>
      </c>
      <c r="O54" s="152">
        <v>0</v>
      </c>
      <c r="P54" s="152">
        <v>8797.33</v>
      </c>
      <c r="Q54" s="1">
        <v>0</v>
      </c>
      <c r="R54" s="1">
        <v>43246.78</v>
      </c>
      <c r="S54" s="1">
        <v>0</v>
      </c>
      <c r="T54" s="1">
        <v>10697.75</v>
      </c>
      <c r="U54" s="33">
        <v>0</v>
      </c>
      <c r="V54" s="33">
        <v>9957.33</v>
      </c>
      <c r="W54" s="1">
        <v>0</v>
      </c>
      <c r="X54" s="1">
        <v>11726.67</v>
      </c>
      <c r="Y54" s="1">
        <v>0</v>
      </c>
      <c r="Z54" s="1">
        <v>11726.67</v>
      </c>
      <c r="AA54" s="33">
        <v>0</v>
      </c>
      <c r="AB54" s="33">
        <v>11726.67</v>
      </c>
      <c r="AC54" s="33">
        <v>0</v>
      </c>
      <c r="AD54" s="33">
        <v>20567.54</v>
      </c>
      <c r="AE54" s="33">
        <v>0</v>
      </c>
      <c r="AF54" s="33">
        <v>13317.87</v>
      </c>
      <c r="AG54" s="1">
        <v>0</v>
      </c>
      <c r="AH54" s="1">
        <v>15335.28</v>
      </c>
      <c r="AI54" s="1">
        <v>0</v>
      </c>
      <c r="AJ54" s="1">
        <v>16879.44</v>
      </c>
      <c r="AK54" s="1">
        <v>0</v>
      </c>
      <c r="AL54" s="1">
        <v>21599.39</v>
      </c>
      <c r="AM54" s="9">
        <f t="shared" si="9"/>
        <v>0</v>
      </c>
      <c r="AN54" s="9">
        <f t="shared" si="10"/>
        <v>195578.71999999997</v>
      </c>
      <c r="AO54" s="248">
        <f t="shared" si="11"/>
        <v>195578.71999999997</v>
      </c>
      <c r="AP54" s="10"/>
      <c r="AQ54" s="10">
        <f>15215-1354.13-4180.85</f>
        <v>9680.019999999999</v>
      </c>
      <c r="AR54" s="10"/>
      <c r="AS54" s="10"/>
      <c r="AT54" s="163">
        <f t="shared" si="12"/>
        <v>205258.73999999996</v>
      </c>
      <c r="AU54" s="2"/>
      <c r="AV54" s="2"/>
      <c r="AW54" s="168">
        <v>2408</v>
      </c>
      <c r="AX54" s="21">
        <f t="shared" si="4"/>
        <v>119214.21200000003</v>
      </c>
      <c r="AY54" s="26">
        <v>264005.7</v>
      </c>
    </row>
    <row r="55" spans="1:51" ht="15.75" customHeight="1">
      <c r="A55" s="1">
        <v>47</v>
      </c>
      <c r="B55" s="1" t="s">
        <v>73</v>
      </c>
      <c r="C55" s="1">
        <v>2512.26</v>
      </c>
      <c r="D55" s="1">
        <v>251.9</v>
      </c>
      <c r="E55" s="1">
        <f t="shared" si="15"/>
        <v>2764.1600000000003</v>
      </c>
      <c r="F55" s="2">
        <v>14.36</v>
      </c>
      <c r="G55" s="2">
        <f t="shared" si="1"/>
        <v>39693.337600000006</v>
      </c>
      <c r="H55" s="2">
        <f t="shared" si="5"/>
        <v>238160.02560000005</v>
      </c>
      <c r="I55" s="2">
        <f t="shared" si="6"/>
        <v>14.36</v>
      </c>
      <c r="J55" s="2">
        <f t="shared" si="7"/>
        <v>39693.337600000006</v>
      </c>
      <c r="K55" s="2">
        <f t="shared" si="8"/>
        <v>238160.02560000005</v>
      </c>
      <c r="L55" s="13">
        <f t="shared" si="2"/>
        <v>476320.0512000001</v>
      </c>
      <c r="M55" s="139"/>
      <c r="N55" s="34">
        <f t="shared" si="3"/>
        <v>476320.0512000001</v>
      </c>
      <c r="O55" s="152">
        <v>10168.61</v>
      </c>
      <c r="P55" s="152">
        <v>9926.11</v>
      </c>
      <c r="Q55" s="1">
        <v>26175.89</v>
      </c>
      <c r="R55" s="1">
        <v>13199.42</v>
      </c>
      <c r="S55" s="1">
        <v>39345.15</v>
      </c>
      <c r="T55" s="1">
        <v>8437.08</v>
      </c>
      <c r="U55" s="33">
        <v>30387.36</v>
      </c>
      <c r="V55" s="33">
        <v>10892.63</v>
      </c>
      <c r="W55" s="1">
        <v>15604.12</v>
      </c>
      <c r="X55" s="1">
        <v>7103.89</v>
      </c>
      <c r="Y55" s="1">
        <v>14442.03</v>
      </c>
      <c r="Z55" s="1">
        <v>20228.68</v>
      </c>
      <c r="AA55" s="33">
        <v>12457.44</v>
      </c>
      <c r="AB55" s="33">
        <v>7103.89</v>
      </c>
      <c r="AC55" s="33">
        <v>13817.45</v>
      </c>
      <c r="AD55" s="33">
        <v>7103.89</v>
      </c>
      <c r="AE55" s="33">
        <v>10835.51</v>
      </c>
      <c r="AF55" s="33">
        <v>7103.89</v>
      </c>
      <c r="AG55" s="1">
        <v>7092.53</v>
      </c>
      <c r="AH55" s="1">
        <v>8264.3</v>
      </c>
      <c r="AI55" s="1">
        <v>5086.05</v>
      </c>
      <c r="AJ55" s="1">
        <v>7103.89</v>
      </c>
      <c r="AK55" s="1">
        <v>19607.92</v>
      </c>
      <c r="AL55" s="1">
        <v>7103.89</v>
      </c>
      <c r="AM55" s="9">
        <f t="shared" si="9"/>
        <v>205020.06</v>
      </c>
      <c r="AN55" s="9">
        <f t="shared" si="10"/>
        <v>113571.56</v>
      </c>
      <c r="AO55" s="248">
        <f t="shared" si="11"/>
        <v>318591.62</v>
      </c>
      <c r="AP55" s="10"/>
      <c r="AQ55" s="10"/>
      <c r="AR55" s="10"/>
      <c r="AS55" s="10"/>
      <c r="AT55" s="163">
        <f t="shared" si="12"/>
        <v>318591.62</v>
      </c>
      <c r="AU55" s="2"/>
      <c r="AV55" s="2"/>
      <c r="AW55" s="168">
        <v>4128</v>
      </c>
      <c r="AX55" s="21">
        <f t="shared" si="4"/>
        <v>161856.4312000001</v>
      </c>
      <c r="AY55" s="26">
        <v>180095.11</v>
      </c>
    </row>
    <row r="56" spans="1:51" ht="15.75">
      <c r="A56" s="1">
        <v>48</v>
      </c>
      <c r="B56" s="1" t="s">
        <v>74</v>
      </c>
      <c r="C56" s="1">
        <v>2009.5</v>
      </c>
      <c r="D56" s="1">
        <v>0</v>
      </c>
      <c r="E56" s="1">
        <f t="shared" si="15"/>
        <v>2009.5</v>
      </c>
      <c r="F56" s="2">
        <v>13.87</v>
      </c>
      <c r="G56" s="2">
        <f t="shared" si="1"/>
        <v>27871.765</v>
      </c>
      <c r="H56" s="2">
        <f t="shared" si="5"/>
        <v>167230.59</v>
      </c>
      <c r="I56" s="2">
        <f t="shared" si="6"/>
        <v>13.87</v>
      </c>
      <c r="J56" s="2">
        <f t="shared" si="7"/>
        <v>27871.765</v>
      </c>
      <c r="K56" s="2">
        <f t="shared" si="8"/>
        <v>167230.59</v>
      </c>
      <c r="L56" s="13">
        <f t="shared" si="2"/>
        <v>334461.18</v>
      </c>
      <c r="M56" s="139">
        <v>-177024.53</v>
      </c>
      <c r="N56" s="34">
        <f t="shared" si="3"/>
        <v>157436.65</v>
      </c>
      <c r="O56" s="152">
        <v>0</v>
      </c>
      <c r="P56" s="152">
        <v>8810.57</v>
      </c>
      <c r="Q56" s="1">
        <v>0</v>
      </c>
      <c r="R56" s="1">
        <v>39217.79</v>
      </c>
      <c r="S56" s="1">
        <v>0</v>
      </c>
      <c r="T56" s="1">
        <v>11645.89</v>
      </c>
      <c r="U56" s="33">
        <v>0</v>
      </c>
      <c r="V56" s="33">
        <v>13495.59</v>
      </c>
      <c r="W56" s="1">
        <v>0</v>
      </c>
      <c r="X56" s="1">
        <v>13558.65</v>
      </c>
      <c r="Y56" s="1">
        <v>0</v>
      </c>
      <c r="Z56" s="1">
        <v>11744.44</v>
      </c>
      <c r="AA56" s="33">
        <v>0</v>
      </c>
      <c r="AB56" s="33">
        <v>62748.6</v>
      </c>
      <c r="AC56" s="33">
        <v>0</v>
      </c>
      <c r="AD56" s="33">
        <v>12651.54</v>
      </c>
      <c r="AE56" s="33">
        <v>0</v>
      </c>
      <c r="AF56" s="33">
        <v>16266.64</v>
      </c>
      <c r="AG56" s="1">
        <v>0</v>
      </c>
      <c r="AH56" s="1">
        <v>13728.98</v>
      </c>
      <c r="AI56" s="1">
        <v>0</v>
      </c>
      <c r="AJ56" s="1">
        <v>9440.23</v>
      </c>
      <c r="AK56" s="1">
        <v>0</v>
      </c>
      <c r="AL56" s="1">
        <v>32726.34</v>
      </c>
      <c r="AM56" s="9">
        <f t="shared" si="9"/>
        <v>0</v>
      </c>
      <c r="AN56" s="9">
        <f t="shared" si="10"/>
        <v>246035.26000000004</v>
      </c>
      <c r="AO56" s="248">
        <f t="shared" si="11"/>
        <v>246035.26000000004</v>
      </c>
      <c r="AP56" s="10"/>
      <c r="AQ56" s="10">
        <v>15215</v>
      </c>
      <c r="AR56" s="10"/>
      <c r="AS56" s="10"/>
      <c r="AT56" s="163">
        <f t="shared" si="12"/>
        <v>261250.26000000004</v>
      </c>
      <c r="AU56" s="2"/>
      <c r="AV56" s="2"/>
      <c r="AW56" s="168"/>
      <c r="AX56" s="21">
        <f t="shared" si="4"/>
        <v>-103813.61000000004</v>
      </c>
      <c r="AY56" s="26">
        <v>164369.26</v>
      </c>
    </row>
    <row r="57" spans="1:51" ht="15.75">
      <c r="A57" s="1">
        <v>49</v>
      </c>
      <c r="B57" s="1" t="s">
        <v>75</v>
      </c>
      <c r="C57" s="1">
        <v>1272.3</v>
      </c>
      <c r="D57" s="1">
        <v>0</v>
      </c>
      <c r="E57" s="1">
        <f t="shared" si="15"/>
        <v>1272.3</v>
      </c>
      <c r="F57" s="2">
        <v>13.97</v>
      </c>
      <c r="G57" s="2">
        <f t="shared" si="1"/>
        <v>17774.031</v>
      </c>
      <c r="H57" s="2">
        <f t="shared" si="5"/>
        <v>106644.18599999999</v>
      </c>
      <c r="I57" s="2">
        <f t="shared" si="6"/>
        <v>13.97</v>
      </c>
      <c r="J57" s="2">
        <f t="shared" si="7"/>
        <v>17774.031</v>
      </c>
      <c r="K57" s="2">
        <f t="shared" si="8"/>
        <v>106644.18599999999</v>
      </c>
      <c r="L57" s="13">
        <f t="shared" si="2"/>
        <v>213288.37199999997</v>
      </c>
      <c r="M57" s="139">
        <v>-33537.44</v>
      </c>
      <c r="N57" s="34">
        <f t="shared" si="3"/>
        <v>179750.93199999997</v>
      </c>
      <c r="O57" s="152">
        <v>2162.91</v>
      </c>
      <c r="P57" s="152">
        <v>3499.81</v>
      </c>
      <c r="Q57" s="1">
        <v>2162.91</v>
      </c>
      <c r="R57" s="1">
        <v>3499.81</v>
      </c>
      <c r="S57" s="1">
        <v>7821.6</v>
      </c>
      <c r="T57" s="1">
        <v>3499.81</v>
      </c>
      <c r="U57" s="33">
        <v>2162.91</v>
      </c>
      <c r="V57" s="33">
        <v>61914.86</v>
      </c>
      <c r="W57" s="1">
        <v>4020.47</v>
      </c>
      <c r="X57" s="1">
        <v>3499.81</v>
      </c>
      <c r="Y57" s="1">
        <v>4020.47</v>
      </c>
      <c r="Z57" s="1">
        <v>3499.81</v>
      </c>
      <c r="AA57" s="33">
        <v>45083.72</v>
      </c>
      <c r="AB57" s="33">
        <v>10391.35</v>
      </c>
      <c r="AC57" s="33">
        <v>17556.79</v>
      </c>
      <c r="AD57" s="33">
        <v>3499.81</v>
      </c>
      <c r="AE57" s="33">
        <v>4020.47</v>
      </c>
      <c r="AF57" s="33">
        <v>8680.03</v>
      </c>
      <c r="AG57" s="1">
        <v>3070.01</v>
      </c>
      <c r="AH57" s="1">
        <v>4660.22</v>
      </c>
      <c r="AI57" s="1">
        <v>2162.91</v>
      </c>
      <c r="AJ57" s="1">
        <v>3499.81</v>
      </c>
      <c r="AK57" s="1">
        <v>2162.91</v>
      </c>
      <c r="AL57" s="1">
        <v>3499.81</v>
      </c>
      <c r="AM57" s="9">
        <f t="shared" si="9"/>
        <v>96408.08</v>
      </c>
      <c r="AN57" s="9">
        <f t="shared" si="10"/>
        <v>113644.94</v>
      </c>
      <c r="AO57" s="248">
        <f t="shared" si="11"/>
        <v>210053.02000000002</v>
      </c>
      <c r="AP57" s="10"/>
      <c r="AQ57" s="10"/>
      <c r="AR57" s="10"/>
      <c r="AS57" s="10"/>
      <c r="AT57" s="163">
        <f t="shared" si="12"/>
        <v>210053.02000000002</v>
      </c>
      <c r="AU57" s="2"/>
      <c r="AV57" s="2"/>
      <c r="AW57" s="168"/>
      <c r="AX57" s="21">
        <f t="shared" si="4"/>
        <v>-30302.088000000047</v>
      </c>
      <c r="AY57" s="26">
        <v>72534.88</v>
      </c>
    </row>
    <row r="58" spans="1:51" ht="15.75">
      <c r="A58" s="1">
        <v>50</v>
      </c>
      <c r="B58" s="1" t="s">
        <v>76</v>
      </c>
      <c r="C58" s="1">
        <v>1951</v>
      </c>
      <c r="D58" s="1">
        <v>75.5</v>
      </c>
      <c r="E58" s="1">
        <f t="shared" si="15"/>
        <v>2026.5</v>
      </c>
      <c r="F58" s="2">
        <v>14.36</v>
      </c>
      <c r="G58" s="2">
        <f t="shared" si="1"/>
        <v>29100.539999999997</v>
      </c>
      <c r="H58" s="2">
        <f t="shared" si="5"/>
        <v>174603.24</v>
      </c>
      <c r="I58" s="2">
        <f t="shared" si="6"/>
        <v>14.36</v>
      </c>
      <c r="J58" s="2">
        <f t="shared" si="7"/>
        <v>29100.539999999997</v>
      </c>
      <c r="K58" s="2">
        <f t="shared" si="8"/>
        <v>174603.24</v>
      </c>
      <c r="L58" s="13">
        <f t="shared" si="2"/>
        <v>349206.48</v>
      </c>
      <c r="M58" s="139">
        <v>-59884.34</v>
      </c>
      <c r="N58" s="34">
        <f t="shared" si="3"/>
        <v>289322.14</v>
      </c>
      <c r="O58" s="152">
        <v>0</v>
      </c>
      <c r="P58" s="152">
        <v>5811.53</v>
      </c>
      <c r="Q58" s="1">
        <v>0</v>
      </c>
      <c r="R58" s="1">
        <v>62385.53</v>
      </c>
      <c r="S58" s="1">
        <v>0</v>
      </c>
      <c r="T58" s="1">
        <v>7236.85</v>
      </c>
      <c r="U58" s="33">
        <v>0</v>
      </c>
      <c r="V58" s="33">
        <v>6971.53</v>
      </c>
      <c r="W58" s="1">
        <v>0</v>
      </c>
      <c r="X58" s="1">
        <v>25015.1</v>
      </c>
      <c r="Y58" s="1">
        <v>0</v>
      </c>
      <c r="Z58" s="1">
        <v>72838.93</v>
      </c>
      <c r="AA58" s="33">
        <v>0</v>
      </c>
      <c r="AB58" s="33">
        <v>12703.07</v>
      </c>
      <c r="AC58" s="33">
        <v>0</v>
      </c>
      <c r="AD58" s="33">
        <v>29364.94</v>
      </c>
      <c r="AE58" s="33">
        <v>0</v>
      </c>
      <c r="AF58" s="33">
        <v>24229.67</v>
      </c>
      <c r="AG58" s="1">
        <v>0</v>
      </c>
      <c r="AH58" s="1">
        <v>8581.87</v>
      </c>
      <c r="AI58" s="1">
        <v>0</v>
      </c>
      <c r="AJ58" s="1">
        <v>9788.56</v>
      </c>
      <c r="AK58" s="1">
        <v>0</v>
      </c>
      <c r="AL58" s="1">
        <v>19926.92</v>
      </c>
      <c r="AM58" s="9">
        <f t="shared" si="9"/>
        <v>0</v>
      </c>
      <c r="AN58" s="9">
        <f t="shared" si="10"/>
        <v>284854.5</v>
      </c>
      <c r="AO58" s="248">
        <f t="shared" si="11"/>
        <v>284854.5</v>
      </c>
      <c r="AP58" s="10"/>
      <c r="AQ58" s="10">
        <v>15215</v>
      </c>
      <c r="AR58" s="10"/>
      <c r="AS58" s="10"/>
      <c r="AT58" s="163">
        <f t="shared" si="12"/>
        <v>300069.5</v>
      </c>
      <c r="AU58" s="2"/>
      <c r="AV58" s="2"/>
      <c r="AW58" s="168">
        <v>4128</v>
      </c>
      <c r="AX58" s="21">
        <f t="shared" si="4"/>
        <v>-6619.359999999986</v>
      </c>
      <c r="AY58" s="26">
        <v>252669.11</v>
      </c>
    </row>
    <row r="59" spans="1:51" ht="15.75" customHeight="1">
      <c r="A59" s="1">
        <v>51</v>
      </c>
      <c r="B59" s="1" t="s">
        <v>77</v>
      </c>
      <c r="C59" s="1">
        <v>1072.8</v>
      </c>
      <c r="D59" s="1">
        <v>217.6</v>
      </c>
      <c r="E59" s="1">
        <f t="shared" si="15"/>
        <v>1290.3999999999999</v>
      </c>
      <c r="F59" s="2">
        <v>13.99</v>
      </c>
      <c r="G59" s="2">
        <f t="shared" si="1"/>
        <v>18052.696</v>
      </c>
      <c r="H59" s="2">
        <f t="shared" si="5"/>
        <v>108316.176</v>
      </c>
      <c r="I59" s="2">
        <f t="shared" si="6"/>
        <v>13.99</v>
      </c>
      <c r="J59" s="2">
        <f t="shared" si="7"/>
        <v>18052.696</v>
      </c>
      <c r="K59" s="2">
        <f t="shared" si="8"/>
        <v>108316.176</v>
      </c>
      <c r="L59" s="13">
        <f t="shared" si="2"/>
        <v>216632.352</v>
      </c>
      <c r="M59" s="139">
        <v>-63330.69</v>
      </c>
      <c r="N59" s="34">
        <f t="shared" si="3"/>
        <v>153301.662</v>
      </c>
      <c r="O59" s="152">
        <v>4585.19</v>
      </c>
      <c r="P59" s="152">
        <v>3546.33</v>
      </c>
      <c r="Q59" s="1">
        <v>2374.34</v>
      </c>
      <c r="R59" s="1">
        <v>3546.33</v>
      </c>
      <c r="S59" s="1">
        <v>13091.72</v>
      </c>
      <c r="T59" s="1">
        <v>3546.33</v>
      </c>
      <c r="U59" s="33">
        <v>2374.34</v>
      </c>
      <c r="V59" s="33">
        <v>8081</v>
      </c>
      <c r="W59" s="1">
        <v>5058.37</v>
      </c>
      <c r="X59" s="1">
        <v>3546.33</v>
      </c>
      <c r="Y59" s="1">
        <v>5058.37</v>
      </c>
      <c r="Z59" s="1">
        <v>3546.33</v>
      </c>
      <c r="AA59" s="33">
        <v>5058.37</v>
      </c>
      <c r="AB59" s="33">
        <v>3546.33</v>
      </c>
      <c r="AC59" s="33">
        <v>5058.37</v>
      </c>
      <c r="AD59" s="33">
        <v>3546.33</v>
      </c>
      <c r="AE59" s="33">
        <v>5058.37</v>
      </c>
      <c r="AF59" s="33">
        <v>3546.33</v>
      </c>
      <c r="AG59" s="1">
        <v>2374.34</v>
      </c>
      <c r="AH59" s="1">
        <v>4706.74</v>
      </c>
      <c r="AI59" s="1">
        <v>3110.24</v>
      </c>
      <c r="AJ59" s="1">
        <v>3546.33</v>
      </c>
      <c r="AK59" s="1">
        <v>16087.24</v>
      </c>
      <c r="AL59" s="1">
        <v>29487.18</v>
      </c>
      <c r="AM59" s="9">
        <f t="shared" si="9"/>
        <v>69289.26</v>
      </c>
      <c r="AN59" s="9">
        <f t="shared" si="10"/>
        <v>74191.89000000001</v>
      </c>
      <c r="AO59" s="248">
        <f t="shared" si="11"/>
        <v>143481.15000000002</v>
      </c>
      <c r="AP59" s="10">
        <v>1359</v>
      </c>
      <c r="AQ59" s="10">
        <v>10440</v>
      </c>
      <c r="AR59" s="10"/>
      <c r="AS59" s="10"/>
      <c r="AT59" s="163">
        <f t="shared" si="12"/>
        <v>155280.15000000002</v>
      </c>
      <c r="AU59" s="2"/>
      <c r="AV59" s="2"/>
      <c r="AW59" s="168"/>
      <c r="AX59" s="21">
        <f t="shared" si="4"/>
        <v>-1978.488000000012</v>
      </c>
      <c r="AY59" s="26">
        <v>175624.72</v>
      </c>
    </row>
    <row r="60" spans="1:51" ht="15.75" customHeight="1">
      <c r="A60" s="1">
        <v>52</v>
      </c>
      <c r="B60" s="1" t="s">
        <v>78</v>
      </c>
      <c r="C60" s="1">
        <v>2565.3</v>
      </c>
      <c r="D60" s="1">
        <v>0</v>
      </c>
      <c r="E60" s="1">
        <f t="shared" si="15"/>
        <v>2565.3</v>
      </c>
      <c r="F60" s="2">
        <v>14.36</v>
      </c>
      <c r="G60" s="2">
        <f t="shared" si="1"/>
        <v>36837.708</v>
      </c>
      <c r="H60" s="2">
        <f t="shared" si="5"/>
        <v>221026.248</v>
      </c>
      <c r="I60" s="2">
        <f t="shared" si="6"/>
        <v>14.36</v>
      </c>
      <c r="J60" s="2">
        <f t="shared" si="7"/>
        <v>36837.708</v>
      </c>
      <c r="K60" s="2">
        <f t="shared" si="8"/>
        <v>221026.248</v>
      </c>
      <c r="L60" s="13">
        <f t="shared" si="2"/>
        <v>442052.496</v>
      </c>
      <c r="M60" s="139">
        <v>-175482.8</v>
      </c>
      <c r="N60" s="34">
        <f t="shared" si="3"/>
        <v>266569.696</v>
      </c>
      <c r="O60" s="152">
        <v>20841.12</v>
      </c>
      <c r="P60" s="152">
        <v>8156.01</v>
      </c>
      <c r="Q60" s="1">
        <v>21866.99</v>
      </c>
      <c r="R60" s="1">
        <v>9282.52</v>
      </c>
      <c r="S60" s="1">
        <v>101379.06</v>
      </c>
      <c r="T60" s="1">
        <v>9237.55</v>
      </c>
      <c r="U60" s="33">
        <v>19460.1</v>
      </c>
      <c r="V60" s="33">
        <v>13936.66</v>
      </c>
      <c r="W60" s="1">
        <v>10055.98</v>
      </c>
      <c r="X60" s="1">
        <v>26513.92</v>
      </c>
      <c r="Y60" s="1">
        <v>10055.98</v>
      </c>
      <c r="Z60" s="1">
        <v>6822.82</v>
      </c>
      <c r="AA60" s="33">
        <v>13801.11</v>
      </c>
      <c r="AB60" s="33">
        <v>13714.36</v>
      </c>
      <c r="AC60" s="33">
        <v>17132.25</v>
      </c>
      <c r="AD60" s="33">
        <v>6822.82</v>
      </c>
      <c r="AE60" s="33">
        <v>10055.98</v>
      </c>
      <c r="AF60" s="33">
        <v>15090.13</v>
      </c>
      <c r="AG60" s="1">
        <v>6423.05</v>
      </c>
      <c r="AH60" s="1">
        <v>13909.9</v>
      </c>
      <c r="AI60" s="1">
        <v>5456.05</v>
      </c>
      <c r="AJ60" s="1">
        <v>6822.82</v>
      </c>
      <c r="AK60" s="1">
        <v>10964.44</v>
      </c>
      <c r="AL60" s="1">
        <v>6822.82</v>
      </c>
      <c r="AM60" s="9">
        <f t="shared" si="9"/>
        <v>247492.11000000002</v>
      </c>
      <c r="AN60" s="9">
        <f t="shared" si="10"/>
        <v>137132.33000000002</v>
      </c>
      <c r="AO60" s="248">
        <f t="shared" si="11"/>
        <v>384624.44000000006</v>
      </c>
      <c r="AP60" s="10">
        <v>1960</v>
      </c>
      <c r="AQ60" s="10">
        <f>216068.33+18796</f>
        <v>234864.33</v>
      </c>
      <c r="AR60" s="10"/>
      <c r="AS60" s="10"/>
      <c r="AT60" s="163">
        <f t="shared" si="12"/>
        <v>621448.77</v>
      </c>
      <c r="AU60" s="2"/>
      <c r="AV60" s="2"/>
      <c r="AW60" s="168">
        <v>2408</v>
      </c>
      <c r="AX60" s="21">
        <f t="shared" si="4"/>
        <v>-352471.074</v>
      </c>
      <c r="AY60" s="26">
        <v>297366.81</v>
      </c>
    </row>
    <row r="61" spans="1:51" ht="15.75" customHeight="1">
      <c r="A61" s="1">
        <v>53</v>
      </c>
      <c r="B61" s="1" t="s">
        <v>79</v>
      </c>
      <c r="C61" s="1">
        <v>4518.2</v>
      </c>
      <c r="D61" s="1">
        <v>294.2</v>
      </c>
      <c r="E61" s="1">
        <f t="shared" si="15"/>
        <v>4812.4</v>
      </c>
      <c r="F61" s="2">
        <v>14.36</v>
      </c>
      <c r="G61" s="2">
        <f t="shared" si="1"/>
        <v>69106.064</v>
      </c>
      <c r="H61" s="2">
        <f t="shared" si="5"/>
        <v>414636.38399999996</v>
      </c>
      <c r="I61" s="2">
        <f t="shared" si="6"/>
        <v>14.36</v>
      </c>
      <c r="J61" s="2">
        <f t="shared" si="7"/>
        <v>69106.064</v>
      </c>
      <c r="K61" s="2">
        <f t="shared" si="8"/>
        <v>414636.38399999996</v>
      </c>
      <c r="L61" s="13">
        <f t="shared" si="2"/>
        <v>829272.7679999999</v>
      </c>
      <c r="M61" s="139"/>
      <c r="N61" s="34">
        <f t="shared" si="3"/>
        <v>829272.7679999999</v>
      </c>
      <c r="O61" s="152">
        <v>15208.02</v>
      </c>
      <c r="P61" s="152">
        <v>25753.89</v>
      </c>
      <c r="Q61" s="1">
        <v>19028.66</v>
      </c>
      <c r="R61" s="1">
        <v>13075.93</v>
      </c>
      <c r="S61" s="1">
        <v>79405.45</v>
      </c>
      <c r="T61" s="1">
        <v>12827.87</v>
      </c>
      <c r="U61" s="33">
        <v>65938.04</v>
      </c>
      <c r="V61" s="33">
        <v>28594.47</v>
      </c>
      <c r="W61" s="1">
        <v>26342.43</v>
      </c>
      <c r="X61" s="1">
        <v>20145.56</v>
      </c>
      <c r="Y61" s="1">
        <v>135187.02</v>
      </c>
      <c r="Z61" s="1">
        <v>12827.87</v>
      </c>
      <c r="AA61" s="33">
        <v>62960.37</v>
      </c>
      <c r="AB61" s="33">
        <v>97683.25</v>
      </c>
      <c r="AC61" s="33">
        <v>22826.28</v>
      </c>
      <c r="AD61" s="33">
        <v>15313.69</v>
      </c>
      <c r="AE61" s="33">
        <v>20320.01</v>
      </c>
      <c r="AF61" s="33">
        <v>15313.69</v>
      </c>
      <c r="AG61" s="1">
        <v>21665.41</v>
      </c>
      <c r="AH61" s="1">
        <v>14858.39</v>
      </c>
      <c r="AI61" s="1">
        <v>12080.61</v>
      </c>
      <c r="AJ61" s="1">
        <v>12827.87</v>
      </c>
      <c r="AK61" s="1">
        <v>36796</v>
      </c>
      <c r="AL61" s="1">
        <v>48508</v>
      </c>
      <c r="AM61" s="9">
        <f t="shared" si="9"/>
        <v>517758.3</v>
      </c>
      <c r="AN61" s="9">
        <f t="shared" si="10"/>
        <v>317730.48</v>
      </c>
      <c r="AO61" s="248">
        <f t="shared" si="11"/>
        <v>835488.78</v>
      </c>
      <c r="AP61" s="10"/>
      <c r="AQ61" s="10"/>
      <c r="AR61" s="10"/>
      <c r="AS61" s="10"/>
      <c r="AT61" s="163">
        <f t="shared" si="12"/>
        <v>835488.78</v>
      </c>
      <c r="AU61" s="2"/>
      <c r="AV61" s="2"/>
      <c r="AW61" s="168">
        <v>4128</v>
      </c>
      <c r="AX61" s="21">
        <f t="shared" si="4"/>
        <v>-2088.0120000001043</v>
      </c>
      <c r="AY61" s="26">
        <v>429328.87</v>
      </c>
    </row>
    <row r="62" spans="1:51" ht="15.75" customHeight="1">
      <c r="A62" s="1">
        <v>54</v>
      </c>
      <c r="B62" s="1" t="s">
        <v>80</v>
      </c>
      <c r="C62" s="1">
        <v>802.6</v>
      </c>
      <c r="D62" s="1">
        <v>0</v>
      </c>
      <c r="E62" s="1">
        <f t="shared" si="15"/>
        <v>802.6</v>
      </c>
      <c r="F62" s="169">
        <v>10.49</v>
      </c>
      <c r="G62" s="2">
        <f t="shared" si="1"/>
        <v>8419.274000000001</v>
      </c>
      <c r="H62" s="2">
        <f t="shared" si="5"/>
        <v>50515.64400000001</v>
      </c>
      <c r="I62" s="2">
        <f t="shared" si="6"/>
        <v>10.49</v>
      </c>
      <c r="J62" s="2">
        <f t="shared" si="7"/>
        <v>8419.274000000001</v>
      </c>
      <c r="K62" s="2">
        <f t="shared" si="8"/>
        <v>50515.64400000001</v>
      </c>
      <c r="L62" s="13">
        <f t="shared" si="2"/>
        <v>101031.28800000002</v>
      </c>
      <c r="M62" s="139">
        <v>-164912.39</v>
      </c>
      <c r="N62" s="34">
        <f t="shared" si="3"/>
        <v>-63881.102</v>
      </c>
      <c r="O62" s="152">
        <v>0</v>
      </c>
      <c r="P62" s="152">
        <v>2292.68</v>
      </c>
      <c r="Q62" s="1">
        <v>0</v>
      </c>
      <c r="R62" s="1">
        <v>4914.94</v>
      </c>
      <c r="S62" s="1">
        <v>0</v>
      </c>
      <c r="T62" s="1">
        <v>2292.68</v>
      </c>
      <c r="U62" s="33">
        <v>4544.92</v>
      </c>
      <c r="V62" s="33">
        <v>3452.68</v>
      </c>
      <c r="W62" s="1">
        <v>0</v>
      </c>
      <c r="X62" s="1">
        <v>2292.68</v>
      </c>
      <c r="Y62" s="1">
        <v>0</v>
      </c>
      <c r="Z62" s="1">
        <v>2292.68</v>
      </c>
      <c r="AA62" s="33">
        <v>0</v>
      </c>
      <c r="AB62" s="33">
        <v>6185.8</v>
      </c>
      <c r="AC62" s="33">
        <v>0</v>
      </c>
      <c r="AD62" s="33">
        <v>2292.68</v>
      </c>
      <c r="AE62" s="33">
        <v>0</v>
      </c>
      <c r="AF62" s="33">
        <v>48354.19</v>
      </c>
      <c r="AG62" s="1">
        <v>0</v>
      </c>
      <c r="AH62" s="1">
        <v>14687.43</v>
      </c>
      <c r="AI62" s="1">
        <v>0</v>
      </c>
      <c r="AJ62" s="1">
        <v>2292.68</v>
      </c>
      <c r="AK62" s="1">
        <v>0</v>
      </c>
      <c r="AL62" s="1">
        <v>2292.68</v>
      </c>
      <c r="AM62" s="9">
        <f t="shared" si="9"/>
        <v>4544.92</v>
      </c>
      <c r="AN62" s="9">
        <f t="shared" si="10"/>
        <v>93643.79999999999</v>
      </c>
      <c r="AO62" s="248">
        <f t="shared" si="11"/>
        <v>98188.71999999999</v>
      </c>
      <c r="AP62" s="10"/>
      <c r="AQ62" s="10"/>
      <c r="AR62" s="10"/>
      <c r="AS62" s="10"/>
      <c r="AT62" s="163">
        <f t="shared" si="12"/>
        <v>98188.71999999999</v>
      </c>
      <c r="AU62" s="2"/>
      <c r="AV62" s="2"/>
      <c r="AW62" s="168">
        <v>4128</v>
      </c>
      <c r="AX62" s="21">
        <f t="shared" si="4"/>
        <v>-157941.822</v>
      </c>
      <c r="AY62" s="26">
        <v>25606.56</v>
      </c>
    </row>
    <row r="63" spans="1:51" ht="15.75" customHeight="1">
      <c r="A63" s="1">
        <v>55</v>
      </c>
      <c r="B63" s="1" t="s">
        <v>81</v>
      </c>
      <c r="C63" s="1">
        <v>292.3</v>
      </c>
      <c r="D63" s="1">
        <v>0</v>
      </c>
      <c r="E63" s="1">
        <f t="shared" si="15"/>
        <v>292.3</v>
      </c>
      <c r="F63" s="169">
        <v>6.35</v>
      </c>
      <c r="G63" s="2">
        <f t="shared" si="1"/>
        <v>1856.105</v>
      </c>
      <c r="H63" s="2">
        <f t="shared" si="5"/>
        <v>11136.630000000001</v>
      </c>
      <c r="I63" s="2">
        <f t="shared" si="6"/>
        <v>6.35</v>
      </c>
      <c r="J63" s="2">
        <f t="shared" si="7"/>
        <v>1856.105</v>
      </c>
      <c r="K63" s="2">
        <f t="shared" si="8"/>
        <v>11136.630000000001</v>
      </c>
      <c r="L63" s="13">
        <f t="shared" si="2"/>
        <v>22273.260000000002</v>
      </c>
      <c r="M63" s="139">
        <v>-62752.41</v>
      </c>
      <c r="N63" s="34">
        <f t="shared" si="3"/>
        <v>-40479.15</v>
      </c>
      <c r="O63" s="152">
        <v>0</v>
      </c>
      <c r="P63" s="152">
        <v>751.21</v>
      </c>
      <c r="Q63" s="1">
        <v>0</v>
      </c>
      <c r="R63" s="1">
        <v>751.21</v>
      </c>
      <c r="S63" s="1">
        <v>0</v>
      </c>
      <c r="T63" s="1">
        <v>751.21</v>
      </c>
      <c r="U63" s="33">
        <v>0</v>
      </c>
      <c r="V63" s="33">
        <v>1331.21</v>
      </c>
      <c r="W63" s="1">
        <v>0</v>
      </c>
      <c r="X63" s="1">
        <v>751.21</v>
      </c>
      <c r="Y63" s="1">
        <v>0</v>
      </c>
      <c r="Z63" s="1">
        <v>751.21</v>
      </c>
      <c r="AA63" s="33">
        <v>0</v>
      </c>
      <c r="AB63" s="33">
        <v>751.21</v>
      </c>
      <c r="AC63" s="33">
        <v>0</v>
      </c>
      <c r="AD63" s="33">
        <v>751.21</v>
      </c>
      <c r="AE63" s="33">
        <v>0</v>
      </c>
      <c r="AF63" s="33">
        <v>751.21</v>
      </c>
      <c r="AG63" s="1">
        <v>0</v>
      </c>
      <c r="AH63" s="1">
        <v>1911.62</v>
      </c>
      <c r="AI63" s="1">
        <v>0</v>
      </c>
      <c r="AJ63" s="1">
        <v>751.21</v>
      </c>
      <c r="AK63" s="1">
        <v>0</v>
      </c>
      <c r="AL63" s="1">
        <v>751.21</v>
      </c>
      <c r="AM63" s="9">
        <f t="shared" si="9"/>
        <v>0</v>
      </c>
      <c r="AN63" s="9">
        <f t="shared" si="10"/>
        <v>10754.93</v>
      </c>
      <c r="AO63" s="248">
        <f t="shared" si="11"/>
        <v>10754.93</v>
      </c>
      <c r="AP63" s="10"/>
      <c r="AQ63" s="10"/>
      <c r="AR63" s="10"/>
      <c r="AS63" s="10"/>
      <c r="AT63" s="163">
        <f t="shared" si="12"/>
        <v>10754.93</v>
      </c>
      <c r="AU63" s="2"/>
      <c r="AV63" s="2">
        <f>E63*0.65+(E63*0.69)*3</f>
        <v>795.0559999999999</v>
      </c>
      <c r="AW63" s="168"/>
      <c r="AX63" s="21">
        <f t="shared" si="4"/>
        <v>-50439.024000000005</v>
      </c>
      <c r="AY63" s="26">
        <v>165328.93</v>
      </c>
    </row>
    <row r="64" spans="1:51" ht="15.75" customHeight="1">
      <c r="A64" s="1">
        <v>56</v>
      </c>
      <c r="B64" s="1" t="s">
        <v>82</v>
      </c>
      <c r="C64" s="1">
        <v>461.4</v>
      </c>
      <c r="D64" s="1">
        <v>0</v>
      </c>
      <c r="E64" s="1">
        <f t="shared" si="15"/>
        <v>461.4</v>
      </c>
      <c r="F64" s="169">
        <v>8.44</v>
      </c>
      <c r="G64" s="2">
        <f t="shared" si="1"/>
        <v>3894.2159999999994</v>
      </c>
      <c r="H64" s="2">
        <f t="shared" si="5"/>
        <v>23365.295999999995</v>
      </c>
      <c r="I64" s="2">
        <f t="shared" si="6"/>
        <v>8.44</v>
      </c>
      <c r="J64" s="2">
        <f t="shared" si="7"/>
        <v>3894.2159999999994</v>
      </c>
      <c r="K64" s="2">
        <f t="shared" si="8"/>
        <v>23365.295999999995</v>
      </c>
      <c r="L64" s="13">
        <f t="shared" si="2"/>
        <v>46730.59199999999</v>
      </c>
      <c r="M64" s="139">
        <v>-79418.72</v>
      </c>
      <c r="N64" s="34">
        <f t="shared" si="3"/>
        <v>-32688.12800000001</v>
      </c>
      <c r="O64" s="152">
        <v>0</v>
      </c>
      <c r="P64" s="152">
        <v>2976.76</v>
      </c>
      <c r="Q64" s="1">
        <v>0</v>
      </c>
      <c r="R64" s="1">
        <v>1415.8</v>
      </c>
      <c r="S64" s="1">
        <v>0</v>
      </c>
      <c r="T64" s="1">
        <v>1415.8</v>
      </c>
      <c r="U64" s="33">
        <v>0</v>
      </c>
      <c r="V64" s="33">
        <v>1995.8</v>
      </c>
      <c r="W64" s="1">
        <v>0</v>
      </c>
      <c r="X64" s="1">
        <v>1415.8</v>
      </c>
      <c r="Y64" s="1">
        <v>0</v>
      </c>
      <c r="Z64" s="1">
        <v>1415.8</v>
      </c>
      <c r="AA64" s="33">
        <v>0</v>
      </c>
      <c r="AB64" s="33">
        <v>1415.8</v>
      </c>
      <c r="AC64" s="33">
        <v>0</v>
      </c>
      <c r="AD64" s="33">
        <v>1415.8</v>
      </c>
      <c r="AE64" s="33">
        <v>0</v>
      </c>
      <c r="AF64" s="33">
        <v>1415.8</v>
      </c>
      <c r="AG64" s="1">
        <v>0</v>
      </c>
      <c r="AH64" s="1">
        <v>2576.21</v>
      </c>
      <c r="AI64" s="1">
        <v>0</v>
      </c>
      <c r="AJ64" s="1">
        <v>1415.8</v>
      </c>
      <c r="AK64" s="1">
        <v>0</v>
      </c>
      <c r="AL64" s="1">
        <v>1415.8</v>
      </c>
      <c r="AM64" s="9">
        <f t="shared" si="9"/>
        <v>0</v>
      </c>
      <c r="AN64" s="9">
        <f t="shared" si="10"/>
        <v>20290.969999999998</v>
      </c>
      <c r="AO64" s="248">
        <f t="shared" si="11"/>
        <v>20290.969999999998</v>
      </c>
      <c r="AP64" s="10"/>
      <c r="AQ64" s="10">
        <v>3276</v>
      </c>
      <c r="AR64" s="10"/>
      <c r="AS64" s="10"/>
      <c r="AT64" s="163">
        <f t="shared" si="12"/>
        <v>23566.969999999998</v>
      </c>
      <c r="AU64" s="2">
        <v>46383.4</v>
      </c>
      <c r="AV64" s="2"/>
      <c r="AW64" s="168"/>
      <c r="AX64" s="21">
        <f>N64-AT64+AU64+AV64+AW64</f>
        <v>-9871.698000000011</v>
      </c>
      <c r="AY64" s="26">
        <v>41774.48</v>
      </c>
    </row>
    <row r="65" spans="1:51" ht="15.75" customHeight="1">
      <c r="A65" s="1">
        <v>57</v>
      </c>
      <c r="B65" s="1" t="s">
        <v>83</v>
      </c>
      <c r="C65" s="1">
        <v>2977.9</v>
      </c>
      <c r="D65" s="1">
        <v>0</v>
      </c>
      <c r="E65" s="1">
        <f t="shared" si="15"/>
        <v>2977.9</v>
      </c>
      <c r="F65" s="2">
        <v>14.81</v>
      </c>
      <c r="G65" s="2">
        <f t="shared" si="1"/>
        <v>44102.699</v>
      </c>
      <c r="H65" s="2">
        <f t="shared" si="5"/>
        <v>264616.194</v>
      </c>
      <c r="I65" s="2">
        <f t="shared" si="6"/>
        <v>14.81</v>
      </c>
      <c r="J65" s="2">
        <f t="shared" si="7"/>
        <v>44102.699</v>
      </c>
      <c r="K65" s="2">
        <f t="shared" si="8"/>
        <v>264616.194</v>
      </c>
      <c r="L65" s="13">
        <f t="shared" si="2"/>
        <v>529232.388</v>
      </c>
      <c r="M65" s="139"/>
      <c r="N65" s="34">
        <f t="shared" si="3"/>
        <v>529232.388</v>
      </c>
      <c r="O65" s="152">
        <v>9508.35</v>
      </c>
      <c r="P65" s="152">
        <v>11446.1</v>
      </c>
      <c r="Q65" s="1">
        <v>54491.53</v>
      </c>
      <c r="R65" s="1">
        <v>8113.2</v>
      </c>
      <c r="S65" s="1">
        <v>28612.22</v>
      </c>
      <c r="T65" s="1">
        <v>31447.77</v>
      </c>
      <c r="U65" s="33">
        <v>8312.08</v>
      </c>
      <c r="V65" s="33">
        <v>25987.13</v>
      </c>
      <c r="W65" s="1">
        <v>12126.92</v>
      </c>
      <c r="X65" s="1">
        <v>15921.4</v>
      </c>
      <c r="Y65" s="1">
        <v>11673.37</v>
      </c>
      <c r="Z65" s="1">
        <v>12621.08</v>
      </c>
      <c r="AA65" s="33">
        <v>12353.69</v>
      </c>
      <c r="AB65" s="33">
        <v>16010.44</v>
      </c>
      <c r="AC65" s="33">
        <v>12126.92</v>
      </c>
      <c r="AD65" s="33">
        <v>15004.74</v>
      </c>
      <c r="AE65" s="33">
        <v>11673.37</v>
      </c>
      <c r="AF65" s="33">
        <v>9162.1</v>
      </c>
      <c r="AG65" s="1">
        <v>5886.84</v>
      </c>
      <c r="AH65" s="1">
        <v>9273.61</v>
      </c>
      <c r="AI65" s="1">
        <v>6456.61</v>
      </c>
      <c r="AJ65" s="1">
        <v>17402.91</v>
      </c>
      <c r="AK65" s="1">
        <v>5479.34</v>
      </c>
      <c r="AL65" s="1">
        <v>10300.02</v>
      </c>
      <c r="AM65" s="9">
        <f t="shared" si="9"/>
        <v>178701.24</v>
      </c>
      <c r="AN65" s="9">
        <f t="shared" si="10"/>
        <v>182690.5</v>
      </c>
      <c r="AO65" s="248">
        <f t="shared" si="11"/>
        <v>361391.74</v>
      </c>
      <c r="AP65" s="10"/>
      <c r="AQ65" s="10"/>
      <c r="AR65" s="10"/>
      <c r="AS65" s="10"/>
      <c r="AT65" s="163">
        <f t="shared" si="12"/>
        <v>361391.74</v>
      </c>
      <c r="AU65" s="2"/>
      <c r="AV65" s="2"/>
      <c r="AW65" s="168">
        <v>2408</v>
      </c>
      <c r="AX65" s="21">
        <f aca="true" t="shared" si="16" ref="AX65:AX128">N65-AT65+AU65+AV65+AW65</f>
        <v>170248.64800000004</v>
      </c>
      <c r="AY65" s="26">
        <v>238097.87</v>
      </c>
    </row>
    <row r="66" spans="1:51" ht="15.75" customHeight="1">
      <c r="A66" s="1">
        <v>58</v>
      </c>
      <c r="B66" s="1" t="s">
        <v>84</v>
      </c>
      <c r="C66" s="1">
        <v>3397.9</v>
      </c>
      <c r="D66" s="1">
        <v>142.4</v>
      </c>
      <c r="E66" s="1">
        <f t="shared" si="15"/>
        <v>3540.3</v>
      </c>
      <c r="F66" s="2">
        <v>14.81</v>
      </c>
      <c r="G66" s="2">
        <f t="shared" si="1"/>
        <v>52431.84300000001</v>
      </c>
      <c r="H66" s="2">
        <f t="shared" si="5"/>
        <v>314591.0580000001</v>
      </c>
      <c r="I66" s="2">
        <f t="shared" si="6"/>
        <v>14.81</v>
      </c>
      <c r="J66" s="2">
        <f t="shared" si="7"/>
        <v>52431.84300000001</v>
      </c>
      <c r="K66" s="2">
        <f t="shared" si="8"/>
        <v>314591.0580000001</v>
      </c>
      <c r="L66" s="13">
        <f t="shared" si="2"/>
        <v>629182.1160000002</v>
      </c>
      <c r="M66" s="139"/>
      <c r="N66" s="34">
        <f t="shared" si="3"/>
        <v>629182.1160000002</v>
      </c>
      <c r="O66" s="152">
        <v>9550.78</v>
      </c>
      <c r="P66" s="152">
        <v>17247.01</v>
      </c>
      <c r="Q66" s="1">
        <v>56190.94</v>
      </c>
      <c r="R66" s="1">
        <v>9327.03</v>
      </c>
      <c r="S66" s="1">
        <v>63778.66</v>
      </c>
      <c r="T66" s="1">
        <v>11326.8</v>
      </c>
      <c r="U66" s="33">
        <v>21173.05</v>
      </c>
      <c r="V66" s="33">
        <v>14448.96</v>
      </c>
      <c r="W66" s="1">
        <v>112170.27</v>
      </c>
      <c r="X66" s="1">
        <v>16658.78</v>
      </c>
      <c r="Y66" s="1">
        <v>16892.54</v>
      </c>
      <c r="Z66" s="1">
        <v>9327.03</v>
      </c>
      <c r="AA66" s="33">
        <v>14555.94</v>
      </c>
      <c r="AB66" s="33">
        <v>13254.03</v>
      </c>
      <c r="AC66" s="33">
        <v>23625.4</v>
      </c>
      <c r="AD66" s="33">
        <v>26182.42</v>
      </c>
      <c r="AE66" s="33">
        <v>13875.62</v>
      </c>
      <c r="AF66" s="33">
        <v>17662.67</v>
      </c>
      <c r="AG66" s="1">
        <v>8892.32</v>
      </c>
      <c r="AH66" s="1">
        <v>11286.98</v>
      </c>
      <c r="AI66" s="1">
        <v>45237.61</v>
      </c>
      <c r="AJ66" s="1">
        <v>13536.55</v>
      </c>
      <c r="AK66" s="1">
        <v>15252.93</v>
      </c>
      <c r="AL66" s="1">
        <v>31180.65</v>
      </c>
      <c r="AM66" s="9">
        <f t="shared" si="9"/>
        <v>401196.06</v>
      </c>
      <c r="AN66" s="9">
        <f t="shared" si="10"/>
        <v>191438.90999999997</v>
      </c>
      <c r="AO66" s="248">
        <f t="shared" si="11"/>
        <v>592634.97</v>
      </c>
      <c r="AP66" s="10"/>
      <c r="AQ66" s="10"/>
      <c r="AR66" s="10"/>
      <c r="AS66" s="10"/>
      <c r="AT66" s="163">
        <f t="shared" si="12"/>
        <v>592634.97</v>
      </c>
      <c r="AU66" s="2"/>
      <c r="AV66" s="2"/>
      <c r="AW66" s="168">
        <v>2408</v>
      </c>
      <c r="AX66" s="21">
        <f t="shared" si="16"/>
        <v>38955.14600000018</v>
      </c>
      <c r="AY66" s="26">
        <v>234454.36</v>
      </c>
    </row>
    <row r="67" spans="1:51" ht="15.75" customHeight="1">
      <c r="A67" s="1">
        <v>59</v>
      </c>
      <c r="B67" s="1" t="s">
        <v>85</v>
      </c>
      <c r="C67" s="1">
        <v>516.5</v>
      </c>
      <c r="D67" s="1">
        <v>0</v>
      </c>
      <c r="E67" s="1">
        <f t="shared" si="15"/>
        <v>516.5</v>
      </c>
      <c r="F67" s="2">
        <v>12.23</v>
      </c>
      <c r="G67" s="2">
        <f t="shared" si="1"/>
        <v>6316.795</v>
      </c>
      <c r="H67" s="2">
        <f t="shared" si="5"/>
        <v>37900.770000000004</v>
      </c>
      <c r="I67" s="2">
        <f t="shared" si="6"/>
        <v>12.23</v>
      </c>
      <c r="J67" s="2">
        <f t="shared" si="7"/>
        <v>6316.795</v>
      </c>
      <c r="K67" s="2">
        <f t="shared" si="8"/>
        <v>37900.770000000004</v>
      </c>
      <c r="L67" s="13">
        <f t="shared" si="2"/>
        <v>75801.54000000001</v>
      </c>
      <c r="M67" s="139"/>
      <c r="N67" s="34">
        <f t="shared" si="3"/>
        <v>75801.54000000001</v>
      </c>
      <c r="O67" s="152">
        <v>495.64</v>
      </c>
      <c r="P67" s="152">
        <v>1327.41</v>
      </c>
      <c r="Q67" s="1">
        <v>0</v>
      </c>
      <c r="R67" s="1">
        <v>1492.78</v>
      </c>
      <c r="S67" s="1">
        <v>0</v>
      </c>
      <c r="T67" s="1">
        <v>1575.47</v>
      </c>
      <c r="U67" s="33">
        <v>0</v>
      </c>
      <c r="V67" s="33">
        <v>1907.41</v>
      </c>
      <c r="W67" s="1">
        <v>0</v>
      </c>
      <c r="X67" s="1">
        <v>1327.41</v>
      </c>
      <c r="Y67" s="1">
        <v>0</v>
      </c>
      <c r="Z67" s="1">
        <v>1327.41</v>
      </c>
      <c r="AA67" s="33">
        <v>0</v>
      </c>
      <c r="AB67" s="33">
        <v>1327.41</v>
      </c>
      <c r="AC67" s="33">
        <v>0</v>
      </c>
      <c r="AD67" s="33">
        <v>1597.41</v>
      </c>
      <c r="AE67" s="33">
        <v>0</v>
      </c>
      <c r="AF67" s="33">
        <v>1687.41</v>
      </c>
      <c r="AG67" s="1">
        <v>0</v>
      </c>
      <c r="AH67" s="1">
        <v>1963.07</v>
      </c>
      <c r="AI67" s="1">
        <v>0</v>
      </c>
      <c r="AJ67" s="1">
        <v>1327.41</v>
      </c>
      <c r="AK67" s="1">
        <v>0</v>
      </c>
      <c r="AL67" s="1">
        <v>1417.41</v>
      </c>
      <c r="AM67" s="9">
        <f t="shared" si="9"/>
        <v>495.64</v>
      </c>
      <c r="AN67" s="9">
        <f t="shared" si="10"/>
        <v>18278.01</v>
      </c>
      <c r="AO67" s="248">
        <f t="shared" si="11"/>
        <v>18773.649999999998</v>
      </c>
      <c r="AP67" s="10"/>
      <c r="AQ67" s="10"/>
      <c r="AR67" s="10"/>
      <c r="AS67" s="10"/>
      <c r="AT67" s="163">
        <f t="shared" si="12"/>
        <v>18773.649999999998</v>
      </c>
      <c r="AU67" s="2"/>
      <c r="AV67" s="2"/>
      <c r="AW67" s="168"/>
      <c r="AX67" s="21">
        <f t="shared" si="16"/>
        <v>57027.890000000014</v>
      </c>
      <c r="AY67" s="26">
        <f>191601.19+25134.36</f>
        <v>216735.55</v>
      </c>
    </row>
    <row r="68" spans="1:51" ht="15.75" customHeight="1">
      <c r="A68" s="1">
        <v>60</v>
      </c>
      <c r="B68" s="1" t="s">
        <v>86</v>
      </c>
      <c r="C68" s="1">
        <v>508.5</v>
      </c>
      <c r="D68" s="1">
        <v>0</v>
      </c>
      <c r="E68" s="1">
        <f t="shared" si="15"/>
        <v>508.5</v>
      </c>
      <c r="F68" s="2">
        <v>8.39</v>
      </c>
      <c r="G68" s="2">
        <f t="shared" si="1"/>
        <v>4266.3150000000005</v>
      </c>
      <c r="H68" s="2">
        <f t="shared" si="5"/>
        <v>25597.890000000003</v>
      </c>
      <c r="I68" s="2">
        <f t="shared" si="6"/>
        <v>8.39</v>
      </c>
      <c r="J68" s="2">
        <f t="shared" si="7"/>
        <v>4266.3150000000005</v>
      </c>
      <c r="K68" s="2">
        <f t="shared" si="8"/>
        <v>25597.890000000003</v>
      </c>
      <c r="L68" s="13">
        <f t="shared" si="2"/>
        <v>51195.780000000006</v>
      </c>
      <c r="M68" s="139"/>
      <c r="N68" s="34">
        <f t="shared" si="3"/>
        <v>51195.780000000006</v>
      </c>
      <c r="O68" s="152">
        <v>495.64</v>
      </c>
      <c r="P68" s="152">
        <v>1302.48</v>
      </c>
      <c r="Q68" s="1">
        <v>0</v>
      </c>
      <c r="R68" s="1">
        <v>1467.85</v>
      </c>
      <c r="S68" s="1">
        <v>0</v>
      </c>
      <c r="T68" s="1">
        <v>1550.54</v>
      </c>
      <c r="U68" s="33">
        <v>0</v>
      </c>
      <c r="V68" s="33">
        <v>1882.48</v>
      </c>
      <c r="W68" s="1">
        <v>0</v>
      </c>
      <c r="X68" s="1">
        <v>1302.48</v>
      </c>
      <c r="Y68" s="1">
        <v>0</v>
      </c>
      <c r="Z68" s="1">
        <v>1302.48</v>
      </c>
      <c r="AA68" s="33">
        <v>0</v>
      </c>
      <c r="AB68" s="33">
        <v>1302.48</v>
      </c>
      <c r="AC68" s="33">
        <v>0</v>
      </c>
      <c r="AD68" s="33">
        <v>1392.48</v>
      </c>
      <c r="AE68" s="33">
        <v>0</v>
      </c>
      <c r="AF68" s="33">
        <v>1302.48</v>
      </c>
      <c r="AG68" s="1">
        <v>0</v>
      </c>
      <c r="AH68" s="1">
        <v>1938.14</v>
      </c>
      <c r="AI68" s="1">
        <v>0</v>
      </c>
      <c r="AJ68" s="1">
        <v>1302.48</v>
      </c>
      <c r="AK68" s="1">
        <v>0</v>
      </c>
      <c r="AL68" s="1">
        <v>1392.48</v>
      </c>
      <c r="AM68" s="9">
        <f t="shared" si="9"/>
        <v>495.64</v>
      </c>
      <c r="AN68" s="9">
        <f t="shared" si="10"/>
        <v>17438.85</v>
      </c>
      <c r="AO68" s="248">
        <f t="shared" si="11"/>
        <v>17934.489999999998</v>
      </c>
      <c r="AP68" s="10"/>
      <c r="AQ68" s="10"/>
      <c r="AR68" s="10"/>
      <c r="AS68" s="10"/>
      <c r="AT68" s="163">
        <f t="shared" si="12"/>
        <v>17934.489999999998</v>
      </c>
      <c r="AU68" s="2"/>
      <c r="AV68" s="2"/>
      <c r="AW68" s="168"/>
      <c r="AX68" s="21">
        <f t="shared" si="16"/>
        <v>33261.29000000001</v>
      </c>
      <c r="AY68" s="26">
        <f>152477.55+2594.32</f>
        <v>155071.87</v>
      </c>
    </row>
    <row r="69" spans="1:51" ht="15.75" customHeight="1">
      <c r="A69" s="1">
        <v>61</v>
      </c>
      <c r="B69" s="1" t="s">
        <v>87</v>
      </c>
      <c r="C69" s="1">
        <v>128.4</v>
      </c>
      <c r="D69" s="1">
        <v>0</v>
      </c>
      <c r="E69" s="1">
        <f t="shared" si="15"/>
        <v>128.4</v>
      </c>
      <c r="F69" s="2">
        <v>7.45</v>
      </c>
      <c r="G69" s="2">
        <f aca="true" t="shared" si="17" ref="G69:G130">E69*F69</f>
        <v>956.58</v>
      </c>
      <c r="H69" s="2">
        <f t="shared" si="5"/>
        <v>5739.4800000000005</v>
      </c>
      <c r="I69" s="2">
        <f t="shared" si="6"/>
        <v>7.45</v>
      </c>
      <c r="J69" s="2">
        <f t="shared" si="7"/>
        <v>956.58</v>
      </c>
      <c r="K69" s="2">
        <f t="shared" si="8"/>
        <v>5739.4800000000005</v>
      </c>
      <c r="L69" s="13">
        <f t="shared" si="2"/>
        <v>11478.960000000001</v>
      </c>
      <c r="M69" s="139"/>
      <c r="N69" s="34">
        <f t="shared" si="3"/>
        <v>11478.960000000001</v>
      </c>
      <c r="O69" s="152">
        <v>0</v>
      </c>
      <c r="P69" s="152">
        <v>329.99</v>
      </c>
      <c r="Q69" s="1">
        <v>0</v>
      </c>
      <c r="R69" s="1">
        <v>329.99</v>
      </c>
      <c r="S69" s="1">
        <v>0</v>
      </c>
      <c r="T69" s="1">
        <v>329.99</v>
      </c>
      <c r="U69" s="33">
        <v>0</v>
      </c>
      <c r="V69" s="33">
        <v>909.99</v>
      </c>
      <c r="W69" s="1">
        <v>0</v>
      </c>
      <c r="X69" s="1">
        <v>329.99</v>
      </c>
      <c r="Y69" s="1">
        <v>0</v>
      </c>
      <c r="Z69" s="1">
        <v>329.99</v>
      </c>
      <c r="AA69" s="33">
        <v>0</v>
      </c>
      <c r="AB69" s="33">
        <v>329.99</v>
      </c>
      <c r="AC69" s="33">
        <v>2454.89</v>
      </c>
      <c r="AD69" s="33">
        <v>329.99</v>
      </c>
      <c r="AE69" s="33">
        <v>0</v>
      </c>
      <c r="AF69" s="33">
        <v>329.99</v>
      </c>
      <c r="AG69" s="1">
        <v>0</v>
      </c>
      <c r="AH69" s="1">
        <v>965.65</v>
      </c>
      <c r="AI69" s="1">
        <v>0</v>
      </c>
      <c r="AJ69" s="1">
        <v>329.99</v>
      </c>
      <c r="AK69" s="1">
        <v>0</v>
      </c>
      <c r="AL69" s="1">
        <v>329.99</v>
      </c>
      <c r="AM69" s="9">
        <f t="shared" si="9"/>
        <v>2454.89</v>
      </c>
      <c r="AN69" s="9">
        <f t="shared" si="10"/>
        <v>5175.539999999998</v>
      </c>
      <c r="AO69" s="248">
        <f t="shared" si="11"/>
        <v>7630.4299999999985</v>
      </c>
      <c r="AP69" s="10"/>
      <c r="AQ69" s="10"/>
      <c r="AR69" s="10"/>
      <c r="AS69" s="10"/>
      <c r="AT69" s="163">
        <f t="shared" si="12"/>
        <v>7630.4299999999985</v>
      </c>
      <c r="AU69" s="2"/>
      <c r="AV69" s="2"/>
      <c r="AW69" s="168"/>
      <c r="AX69" s="21">
        <f t="shared" si="16"/>
        <v>3848.5300000000025</v>
      </c>
      <c r="AY69" s="26">
        <v>80418.27</v>
      </c>
    </row>
    <row r="70" spans="1:51" ht="15.75">
      <c r="A70" s="1">
        <v>62</v>
      </c>
      <c r="B70" s="1" t="s">
        <v>88</v>
      </c>
      <c r="C70" s="1">
        <v>778</v>
      </c>
      <c r="D70" s="1">
        <v>0</v>
      </c>
      <c r="E70" s="1">
        <f t="shared" si="15"/>
        <v>778</v>
      </c>
      <c r="F70" s="2">
        <v>12.48</v>
      </c>
      <c r="G70" s="2">
        <f t="shared" si="17"/>
        <v>9709.44</v>
      </c>
      <c r="H70" s="2">
        <f aca="true" t="shared" si="18" ref="H70:H131">G70*6</f>
        <v>58256.64</v>
      </c>
      <c r="I70" s="2">
        <f t="shared" si="6"/>
        <v>12.48</v>
      </c>
      <c r="J70" s="2">
        <f t="shared" si="7"/>
        <v>9709.44</v>
      </c>
      <c r="K70" s="2">
        <f aca="true" t="shared" si="19" ref="K70:K131">J70*6</f>
        <v>58256.64</v>
      </c>
      <c r="L70" s="13">
        <f aca="true" t="shared" si="20" ref="L70:L132">H70+K70</f>
        <v>116513.28</v>
      </c>
      <c r="M70" s="139">
        <v>-254355.66</v>
      </c>
      <c r="N70" s="34">
        <f aca="true" t="shared" si="21" ref="N70:N131">L70+M70</f>
        <v>-137842.38</v>
      </c>
      <c r="O70" s="152">
        <v>0</v>
      </c>
      <c r="P70" s="152">
        <v>2229.46</v>
      </c>
      <c r="Q70" s="1">
        <v>0</v>
      </c>
      <c r="R70" s="1">
        <v>26667.71</v>
      </c>
      <c r="S70" s="1">
        <v>0</v>
      </c>
      <c r="T70" s="1">
        <v>2229.46</v>
      </c>
      <c r="U70" s="33">
        <v>0</v>
      </c>
      <c r="V70" s="33">
        <v>11585.95</v>
      </c>
      <c r="W70" s="1">
        <v>0</v>
      </c>
      <c r="X70" s="1">
        <v>2229.46</v>
      </c>
      <c r="Y70" s="1">
        <v>0</v>
      </c>
      <c r="Z70" s="1">
        <v>2229.46</v>
      </c>
      <c r="AA70" s="33">
        <v>0</v>
      </c>
      <c r="AB70" s="33">
        <v>2229.46</v>
      </c>
      <c r="AC70" s="33">
        <v>0</v>
      </c>
      <c r="AD70" s="33">
        <v>6965.94</v>
      </c>
      <c r="AE70" s="33">
        <v>0</v>
      </c>
      <c r="AF70" s="33">
        <v>2229.46</v>
      </c>
      <c r="AG70" s="1">
        <v>0</v>
      </c>
      <c r="AH70" s="1">
        <v>137421.42</v>
      </c>
      <c r="AI70" s="1">
        <v>0</v>
      </c>
      <c r="AJ70" s="1">
        <v>18497.27</v>
      </c>
      <c r="AK70" s="1">
        <v>0</v>
      </c>
      <c r="AL70" s="1">
        <v>3450.99</v>
      </c>
      <c r="AM70" s="9">
        <f aca="true" t="shared" si="22" ref="AM70:AM131">O70+Q70+S70+U70+W70+Y70+AA70+AC70+AE70+AG70+AI70+AK70</f>
        <v>0</v>
      </c>
      <c r="AN70" s="9">
        <f aca="true" t="shared" si="23" ref="AN70:AN131">P70+R70+T70+V70+X70+Z70+AB70+AD70+AF70+AH70+AJ70+AL70</f>
        <v>217966.04</v>
      </c>
      <c r="AO70" s="248">
        <f aca="true" t="shared" si="24" ref="AO70:AO131">AM70+AN70</f>
        <v>217966.04</v>
      </c>
      <c r="AP70" s="10"/>
      <c r="AQ70" s="10"/>
      <c r="AR70" s="10">
        <v>396.65</v>
      </c>
      <c r="AS70" s="10"/>
      <c r="AT70" s="163">
        <f t="shared" si="12"/>
        <v>218362.69</v>
      </c>
      <c r="AU70" s="2"/>
      <c r="AV70" s="2"/>
      <c r="AW70" s="168"/>
      <c r="AX70" s="21">
        <f t="shared" si="16"/>
        <v>-356205.07</v>
      </c>
      <c r="AY70" s="26">
        <v>158140.01</v>
      </c>
    </row>
    <row r="71" spans="1:51" ht="15.75" customHeight="1">
      <c r="A71" s="1">
        <v>63</v>
      </c>
      <c r="B71" s="1" t="s">
        <v>89</v>
      </c>
      <c r="C71" s="1">
        <v>511.7</v>
      </c>
      <c r="D71" s="1">
        <v>0</v>
      </c>
      <c r="E71" s="1">
        <f t="shared" si="15"/>
        <v>511.7</v>
      </c>
      <c r="F71" s="2">
        <v>12.23</v>
      </c>
      <c r="G71" s="2">
        <f t="shared" si="17"/>
        <v>6258.091</v>
      </c>
      <c r="H71" s="2">
        <f t="shared" si="18"/>
        <v>37548.546</v>
      </c>
      <c r="I71" s="2">
        <f t="shared" si="6"/>
        <v>12.23</v>
      </c>
      <c r="J71" s="2">
        <f aca="true" t="shared" si="25" ref="J71:J133">E71*I71</f>
        <v>6258.091</v>
      </c>
      <c r="K71" s="2">
        <f t="shared" si="19"/>
        <v>37548.546</v>
      </c>
      <c r="L71" s="13">
        <f t="shared" si="20"/>
        <v>75097.092</v>
      </c>
      <c r="M71" s="139"/>
      <c r="N71" s="34">
        <f t="shared" si="21"/>
        <v>75097.092</v>
      </c>
      <c r="O71" s="152">
        <v>495.64</v>
      </c>
      <c r="P71" s="152">
        <v>1315.07</v>
      </c>
      <c r="Q71" s="1">
        <v>0</v>
      </c>
      <c r="R71" s="1">
        <v>1480.44</v>
      </c>
      <c r="S71" s="1">
        <v>0</v>
      </c>
      <c r="T71" s="1">
        <v>1563.13</v>
      </c>
      <c r="U71" s="33">
        <v>0</v>
      </c>
      <c r="V71" s="33">
        <v>1895.07</v>
      </c>
      <c r="W71" s="1">
        <v>0</v>
      </c>
      <c r="X71" s="1">
        <v>1315.07</v>
      </c>
      <c r="Y71" s="1">
        <v>0</v>
      </c>
      <c r="Z71" s="1">
        <v>1315.07</v>
      </c>
      <c r="AA71" s="33">
        <v>0</v>
      </c>
      <c r="AB71" s="33">
        <v>1315.07</v>
      </c>
      <c r="AC71" s="33">
        <v>0</v>
      </c>
      <c r="AD71" s="33">
        <v>1405.07</v>
      </c>
      <c r="AE71" s="33">
        <v>0</v>
      </c>
      <c r="AF71" s="33">
        <v>1315.07</v>
      </c>
      <c r="AG71" s="1">
        <v>0</v>
      </c>
      <c r="AH71" s="1">
        <v>1950.73</v>
      </c>
      <c r="AI71" s="1">
        <v>0</v>
      </c>
      <c r="AJ71" s="1">
        <v>1315.07</v>
      </c>
      <c r="AK71" s="1">
        <v>0</v>
      </c>
      <c r="AL71" s="1">
        <v>1495.07</v>
      </c>
      <c r="AM71" s="9">
        <f t="shared" si="22"/>
        <v>495.64</v>
      </c>
      <c r="AN71" s="9">
        <f t="shared" si="23"/>
        <v>17679.93</v>
      </c>
      <c r="AO71" s="248">
        <f t="shared" si="24"/>
        <v>18175.57</v>
      </c>
      <c r="AP71" s="10"/>
      <c r="AQ71" s="10"/>
      <c r="AR71" s="10"/>
      <c r="AS71" s="10"/>
      <c r="AT71" s="163">
        <f t="shared" si="12"/>
        <v>18175.57</v>
      </c>
      <c r="AU71" s="2"/>
      <c r="AV71" s="2"/>
      <c r="AW71" s="168"/>
      <c r="AX71" s="21">
        <f t="shared" si="16"/>
        <v>56921.522000000004</v>
      </c>
      <c r="AY71" s="26">
        <f>18767.06+6189.92</f>
        <v>24956.980000000003</v>
      </c>
    </row>
    <row r="72" spans="1:51" ht="15.75">
      <c r="A72" s="1">
        <v>64</v>
      </c>
      <c r="B72" s="1" t="s">
        <v>90</v>
      </c>
      <c r="C72" s="1">
        <v>365.2</v>
      </c>
      <c r="D72" s="1">
        <v>0</v>
      </c>
      <c r="E72" s="1">
        <f t="shared" si="15"/>
        <v>365.2</v>
      </c>
      <c r="F72" s="2">
        <v>12.23</v>
      </c>
      <c r="G72" s="2">
        <f t="shared" si="17"/>
        <v>4466.396</v>
      </c>
      <c r="H72" s="2">
        <f t="shared" si="18"/>
        <v>26798.375999999997</v>
      </c>
      <c r="I72" s="2">
        <f t="shared" si="6"/>
        <v>12.23</v>
      </c>
      <c r="J72" s="2">
        <f t="shared" si="25"/>
        <v>4466.396</v>
      </c>
      <c r="K72" s="2">
        <f t="shared" si="19"/>
        <v>26798.375999999997</v>
      </c>
      <c r="L72" s="13">
        <f t="shared" si="20"/>
        <v>53596.75199999999</v>
      </c>
      <c r="M72" s="139"/>
      <c r="N72" s="34">
        <f t="shared" si="21"/>
        <v>53596.75199999999</v>
      </c>
      <c r="O72" s="152">
        <v>0</v>
      </c>
      <c r="P72" s="152">
        <v>938.56</v>
      </c>
      <c r="Q72" s="1">
        <v>0</v>
      </c>
      <c r="R72" s="1">
        <v>938.56</v>
      </c>
      <c r="S72" s="1">
        <v>0</v>
      </c>
      <c r="T72" s="1">
        <v>938.56</v>
      </c>
      <c r="U72" s="33">
        <v>0</v>
      </c>
      <c r="V72" s="33">
        <v>1518.56</v>
      </c>
      <c r="W72" s="1">
        <v>0</v>
      </c>
      <c r="X72" s="1">
        <v>938.56</v>
      </c>
      <c r="Y72" s="1">
        <v>0</v>
      </c>
      <c r="Z72" s="1">
        <v>938.56</v>
      </c>
      <c r="AA72" s="33">
        <v>0</v>
      </c>
      <c r="AB72" s="33">
        <v>938.56</v>
      </c>
      <c r="AC72" s="33">
        <v>0</v>
      </c>
      <c r="AD72" s="33">
        <v>938.56</v>
      </c>
      <c r="AE72" s="33">
        <v>0</v>
      </c>
      <c r="AF72" s="33">
        <v>938.56</v>
      </c>
      <c r="AG72" s="1">
        <v>0</v>
      </c>
      <c r="AH72" s="1">
        <v>1574.22</v>
      </c>
      <c r="AI72" s="1">
        <v>0</v>
      </c>
      <c r="AJ72" s="1">
        <v>938.56</v>
      </c>
      <c r="AK72" s="1">
        <v>0</v>
      </c>
      <c r="AL72" s="1">
        <v>938.56</v>
      </c>
      <c r="AM72" s="9">
        <f t="shared" si="22"/>
        <v>0</v>
      </c>
      <c r="AN72" s="9">
        <f t="shared" si="23"/>
        <v>12478.379999999996</v>
      </c>
      <c r="AO72" s="248">
        <f t="shared" si="24"/>
        <v>12478.379999999996</v>
      </c>
      <c r="AP72" s="10"/>
      <c r="AQ72" s="10"/>
      <c r="AR72" s="10"/>
      <c r="AS72" s="10"/>
      <c r="AT72" s="163">
        <f t="shared" si="12"/>
        <v>12478.379999999996</v>
      </c>
      <c r="AU72" s="2"/>
      <c r="AV72" s="2"/>
      <c r="AW72" s="168"/>
      <c r="AX72" s="21">
        <f t="shared" si="16"/>
        <v>41118.371999999996</v>
      </c>
      <c r="AY72" s="26">
        <f>3211.5+31511.16</f>
        <v>34722.66</v>
      </c>
    </row>
    <row r="73" spans="1:51" ht="15.75" customHeight="1">
      <c r="A73" s="1">
        <v>65</v>
      </c>
      <c r="B73" s="1" t="s">
        <v>91</v>
      </c>
      <c r="C73" s="1">
        <v>4424.94</v>
      </c>
      <c r="D73" s="1">
        <v>181.9</v>
      </c>
      <c r="E73" s="1">
        <f t="shared" si="15"/>
        <v>4606.839999999999</v>
      </c>
      <c r="F73" s="2">
        <v>13.97</v>
      </c>
      <c r="G73" s="2">
        <f t="shared" si="17"/>
        <v>64357.55479999999</v>
      </c>
      <c r="H73" s="2">
        <f t="shared" si="18"/>
        <v>386145.32879999996</v>
      </c>
      <c r="I73" s="2">
        <f t="shared" si="6"/>
        <v>13.97</v>
      </c>
      <c r="J73" s="2">
        <f t="shared" si="25"/>
        <v>64357.55479999999</v>
      </c>
      <c r="K73" s="2">
        <f t="shared" si="19"/>
        <v>386145.32879999996</v>
      </c>
      <c r="L73" s="13">
        <f t="shared" si="20"/>
        <v>772290.6575999999</v>
      </c>
      <c r="M73" s="139"/>
      <c r="N73" s="34">
        <f t="shared" si="21"/>
        <v>772290.6575999999</v>
      </c>
      <c r="O73" s="152">
        <v>0</v>
      </c>
      <c r="P73" s="152">
        <v>30895.35</v>
      </c>
      <c r="Q73" s="1">
        <v>0</v>
      </c>
      <c r="R73" s="1">
        <v>69320.88</v>
      </c>
      <c r="S73" s="1">
        <v>0</v>
      </c>
      <c r="T73" s="1">
        <v>63168.93</v>
      </c>
      <c r="U73" s="33">
        <v>0</v>
      </c>
      <c r="V73" s="33">
        <v>22303.03</v>
      </c>
      <c r="W73" s="1">
        <v>0</v>
      </c>
      <c r="X73" s="1">
        <v>35599.58</v>
      </c>
      <c r="Y73" s="1">
        <v>0</v>
      </c>
      <c r="Z73" s="1">
        <v>133008.02</v>
      </c>
      <c r="AA73" s="33">
        <v>0</v>
      </c>
      <c r="AB73" s="33">
        <v>90032.91</v>
      </c>
      <c r="AC73" s="33">
        <v>0</v>
      </c>
      <c r="AD73" s="33">
        <v>56810.32</v>
      </c>
      <c r="AE73" s="33">
        <v>0</v>
      </c>
      <c r="AF73" s="33">
        <v>38675.21</v>
      </c>
      <c r="AG73" s="1">
        <v>0</v>
      </c>
      <c r="AH73" s="1">
        <v>30142.9</v>
      </c>
      <c r="AI73" s="1">
        <v>0</v>
      </c>
      <c r="AJ73" s="1">
        <v>23013.2</v>
      </c>
      <c r="AK73" s="1">
        <v>0</v>
      </c>
      <c r="AL73" s="1">
        <v>30380.81</v>
      </c>
      <c r="AM73" s="9">
        <f t="shared" si="22"/>
        <v>0</v>
      </c>
      <c r="AN73" s="9">
        <f t="shared" si="23"/>
        <v>623351.1400000001</v>
      </c>
      <c r="AO73" s="248">
        <f t="shared" si="24"/>
        <v>623351.1400000001</v>
      </c>
      <c r="AP73" s="10"/>
      <c r="AQ73" s="10"/>
      <c r="AR73" s="10"/>
      <c r="AS73" s="10">
        <v>1000</v>
      </c>
      <c r="AT73" s="163">
        <f aca="true" t="shared" si="26" ref="AT73:AT136">AO73+AP73+AQ73+AR73+AS73</f>
        <v>624351.1400000001</v>
      </c>
      <c r="AU73" s="2"/>
      <c r="AV73" s="2"/>
      <c r="AW73" s="168">
        <v>4128</v>
      </c>
      <c r="AX73" s="21">
        <f t="shared" si="16"/>
        <v>152067.5175999998</v>
      </c>
      <c r="AY73" s="26">
        <v>460800.21</v>
      </c>
    </row>
    <row r="74" spans="1:51" ht="15.75">
      <c r="A74" s="1">
        <v>66</v>
      </c>
      <c r="B74" s="1" t="s">
        <v>92</v>
      </c>
      <c r="C74" s="1">
        <v>2045.9</v>
      </c>
      <c r="D74" s="1">
        <v>0</v>
      </c>
      <c r="E74" s="1">
        <f t="shared" si="15"/>
        <v>2045.9</v>
      </c>
      <c r="F74" s="2">
        <v>13.34</v>
      </c>
      <c r="G74" s="2">
        <f t="shared" si="17"/>
        <v>27292.306</v>
      </c>
      <c r="H74" s="2">
        <f t="shared" si="18"/>
        <v>163753.836</v>
      </c>
      <c r="I74" s="2">
        <f aca="true" t="shared" si="27" ref="I74:I137">F74*1</f>
        <v>13.34</v>
      </c>
      <c r="J74" s="2">
        <f t="shared" si="25"/>
        <v>27292.306</v>
      </c>
      <c r="K74" s="2">
        <f t="shared" si="19"/>
        <v>163753.836</v>
      </c>
      <c r="L74" s="13">
        <f t="shared" si="20"/>
        <v>327507.672</v>
      </c>
      <c r="M74" s="139"/>
      <c r="N74" s="34">
        <f t="shared" si="21"/>
        <v>327507.672</v>
      </c>
      <c r="O74" s="152">
        <v>0</v>
      </c>
      <c r="P74" s="152">
        <v>11625.69</v>
      </c>
      <c r="Q74" s="1">
        <v>0</v>
      </c>
      <c r="R74" s="1">
        <v>26072.06</v>
      </c>
      <c r="S74" s="1">
        <v>0</v>
      </c>
      <c r="T74" s="1">
        <v>10391.31</v>
      </c>
      <c r="U74" s="33">
        <v>0</v>
      </c>
      <c r="V74" s="33">
        <v>18837.7</v>
      </c>
      <c r="W74" s="1">
        <v>0</v>
      </c>
      <c r="X74" s="1">
        <v>56659.78</v>
      </c>
      <c r="Y74" s="1">
        <v>0</v>
      </c>
      <c r="Z74" s="1">
        <v>64768.02</v>
      </c>
      <c r="AA74" s="33">
        <v>0</v>
      </c>
      <c r="AB74" s="33">
        <v>94006.22</v>
      </c>
      <c r="AC74" s="33">
        <v>0</v>
      </c>
      <c r="AD74" s="33">
        <v>17675.65</v>
      </c>
      <c r="AE74" s="33">
        <v>0</v>
      </c>
      <c r="AF74" s="33">
        <v>15360.33</v>
      </c>
      <c r="AG74" s="1">
        <v>0</v>
      </c>
      <c r="AH74" s="1">
        <v>12494.77</v>
      </c>
      <c r="AI74" s="1">
        <v>0</v>
      </c>
      <c r="AJ74" s="1">
        <v>57987.35</v>
      </c>
      <c r="AK74" s="1">
        <v>0</v>
      </c>
      <c r="AL74" s="1">
        <v>80808.08</v>
      </c>
      <c r="AM74" s="9">
        <f t="shared" si="22"/>
        <v>0</v>
      </c>
      <c r="AN74" s="9">
        <f t="shared" si="23"/>
        <v>466686.9600000001</v>
      </c>
      <c r="AO74" s="248">
        <f t="shared" si="24"/>
        <v>466686.9600000001</v>
      </c>
      <c r="AP74" s="10">
        <v>6000</v>
      </c>
      <c r="AQ74" s="10">
        <v>12121</v>
      </c>
      <c r="AR74" s="10"/>
      <c r="AS74" s="10"/>
      <c r="AT74" s="163">
        <f t="shared" si="26"/>
        <v>484807.9600000001</v>
      </c>
      <c r="AU74" s="2"/>
      <c r="AV74" s="2"/>
      <c r="AW74" s="168">
        <v>2408</v>
      </c>
      <c r="AX74" s="21">
        <f t="shared" si="16"/>
        <v>-154892.28800000006</v>
      </c>
      <c r="AY74" s="26">
        <v>335215.15</v>
      </c>
    </row>
    <row r="75" spans="1:51" ht="15.75" customHeight="1">
      <c r="A75" s="1">
        <v>67</v>
      </c>
      <c r="B75" s="1" t="s">
        <v>93</v>
      </c>
      <c r="C75" s="1">
        <v>2143.8</v>
      </c>
      <c r="D75" s="1">
        <v>139.9</v>
      </c>
      <c r="E75" s="1">
        <f t="shared" si="15"/>
        <v>2283.7000000000003</v>
      </c>
      <c r="F75" s="2">
        <v>13.97</v>
      </c>
      <c r="G75" s="2">
        <f t="shared" si="17"/>
        <v>31903.289000000004</v>
      </c>
      <c r="H75" s="2">
        <f t="shared" si="18"/>
        <v>191419.73400000003</v>
      </c>
      <c r="I75" s="2">
        <f t="shared" si="27"/>
        <v>13.97</v>
      </c>
      <c r="J75" s="2">
        <f t="shared" si="25"/>
        <v>31903.289000000004</v>
      </c>
      <c r="K75" s="2">
        <f t="shared" si="19"/>
        <v>191419.73400000003</v>
      </c>
      <c r="L75" s="13">
        <f t="shared" si="20"/>
        <v>382839.46800000005</v>
      </c>
      <c r="M75" s="139"/>
      <c r="N75" s="34">
        <f t="shared" si="21"/>
        <v>382839.46800000005</v>
      </c>
      <c r="O75" s="152">
        <v>0</v>
      </c>
      <c r="P75" s="152">
        <v>11307.91</v>
      </c>
      <c r="Q75" s="1">
        <v>0</v>
      </c>
      <c r="R75" s="1">
        <v>32249.95</v>
      </c>
      <c r="S75" s="1">
        <v>0</v>
      </c>
      <c r="T75" s="1">
        <v>18648.32</v>
      </c>
      <c r="U75" s="33">
        <v>0</v>
      </c>
      <c r="V75" s="33">
        <v>13256.4</v>
      </c>
      <c r="W75" s="1">
        <v>0</v>
      </c>
      <c r="X75" s="1">
        <v>47406.32</v>
      </c>
      <c r="Y75" s="1">
        <v>0</v>
      </c>
      <c r="Z75" s="1">
        <v>36939.58</v>
      </c>
      <c r="AA75" s="33">
        <v>0</v>
      </c>
      <c r="AB75" s="33">
        <v>53790.88</v>
      </c>
      <c r="AC75" s="33">
        <v>0</v>
      </c>
      <c r="AD75" s="33">
        <v>57488.39</v>
      </c>
      <c r="AE75" s="33">
        <v>0</v>
      </c>
      <c r="AF75" s="33">
        <v>14916.03</v>
      </c>
      <c r="AG75" s="1">
        <v>0</v>
      </c>
      <c r="AH75" s="1">
        <v>141802.12</v>
      </c>
      <c r="AI75" s="1">
        <v>0</v>
      </c>
      <c r="AJ75" s="1">
        <v>20047.2</v>
      </c>
      <c r="AK75" s="1">
        <v>0</v>
      </c>
      <c r="AL75" s="1">
        <v>8898.7</v>
      </c>
      <c r="AM75" s="9">
        <f t="shared" si="22"/>
        <v>0</v>
      </c>
      <c r="AN75" s="9">
        <f t="shared" si="23"/>
        <v>456751.80000000005</v>
      </c>
      <c r="AO75" s="248">
        <f t="shared" si="24"/>
        <v>456751.80000000005</v>
      </c>
      <c r="AP75" s="10"/>
      <c r="AQ75" s="10">
        <f>128015.15-8929.31-13060</f>
        <v>106025.84</v>
      </c>
      <c r="AR75" s="10"/>
      <c r="AS75" s="10"/>
      <c r="AT75" s="163">
        <f t="shared" si="26"/>
        <v>562777.64</v>
      </c>
      <c r="AU75" s="2"/>
      <c r="AV75" s="2"/>
      <c r="AW75" s="168"/>
      <c r="AX75" s="21">
        <f t="shared" si="16"/>
        <v>-179938.17199999996</v>
      </c>
      <c r="AY75" s="26">
        <v>149362.34</v>
      </c>
    </row>
    <row r="76" spans="1:51" ht="15.75">
      <c r="A76" s="1">
        <v>68</v>
      </c>
      <c r="B76" s="1" t="s">
        <v>94</v>
      </c>
      <c r="C76" s="1">
        <v>1290.9</v>
      </c>
      <c r="D76" s="1">
        <v>0</v>
      </c>
      <c r="E76" s="1">
        <f t="shared" si="15"/>
        <v>1290.9</v>
      </c>
      <c r="F76" s="2">
        <v>14.36</v>
      </c>
      <c r="G76" s="2">
        <f t="shared" si="17"/>
        <v>18537.324</v>
      </c>
      <c r="H76" s="2">
        <f t="shared" si="18"/>
        <v>111223.944</v>
      </c>
      <c r="I76" s="2">
        <f t="shared" si="27"/>
        <v>14.36</v>
      </c>
      <c r="J76" s="2">
        <f t="shared" si="25"/>
        <v>18537.324</v>
      </c>
      <c r="K76" s="2">
        <f t="shared" si="19"/>
        <v>111223.944</v>
      </c>
      <c r="L76" s="13">
        <f t="shared" si="20"/>
        <v>222447.888</v>
      </c>
      <c r="M76" s="139">
        <v>-250542</v>
      </c>
      <c r="N76" s="34">
        <f t="shared" si="21"/>
        <v>-28094.111999999994</v>
      </c>
      <c r="O76" s="152">
        <v>0</v>
      </c>
      <c r="P76" s="152">
        <v>3547.61</v>
      </c>
      <c r="Q76" s="1">
        <v>0</v>
      </c>
      <c r="R76" s="1">
        <v>3547.61</v>
      </c>
      <c r="S76" s="1">
        <v>7292.88</v>
      </c>
      <c r="T76" s="1">
        <v>3547.61</v>
      </c>
      <c r="U76" s="33">
        <v>723.02</v>
      </c>
      <c r="V76" s="33">
        <v>4707.61</v>
      </c>
      <c r="W76" s="1">
        <v>0</v>
      </c>
      <c r="X76" s="1">
        <v>3547.61</v>
      </c>
      <c r="Y76" s="1">
        <v>3962.3</v>
      </c>
      <c r="Z76" s="1">
        <v>6579.56</v>
      </c>
      <c r="AA76" s="33">
        <v>0</v>
      </c>
      <c r="AB76" s="33">
        <v>12924.97</v>
      </c>
      <c r="AC76" s="33">
        <v>42235.05</v>
      </c>
      <c r="AD76" s="33">
        <v>6033.43</v>
      </c>
      <c r="AE76" s="33">
        <v>0</v>
      </c>
      <c r="AF76" s="33">
        <v>11991.68</v>
      </c>
      <c r="AG76" s="1">
        <v>690.75</v>
      </c>
      <c r="AH76" s="1">
        <v>11593.34</v>
      </c>
      <c r="AI76" s="1">
        <v>0</v>
      </c>
      <c r="AJ76" s="1">
        <v>3547.61</v>
      </c>
      <c r="AK76" s="1">
        <v>5306.37</v>
      </c>
      <c r="AL76" s="1">
        <v>3547.61</v>
      </c>
      <c r="AM76" s="9">
        <f t="shared" si="22"/>
        <v>60210.37</v>
      </c>
      <c r="AN76" s="9">
        <f t="shared" si="23"/>
        <v>75116.25</v>
      </c>
      <c r="AO76" s="248">
        <f t="shared" si="24"/>
        <v>135326.62</v>
      </c>
      <c r="AP76" s="10"/>
      <c r="AQ76" s="10">
        <v>213603.77</v>
      </c>
      <c r="AR76" s="10"/>
      <c r="AS76" s="10"/>
      <c r="AT76" s="163">
        <f t="shared" si="26"/>
        <v>348930.39</v>
      </c>
      <c r="AU76" s="2"/>
      <c r="AV76" s="2"/>
      <c r="AW76" s="168">
        <v>4128</v>
      </c>
      <c r="AX76" s="21">
        <f t="shared" si="16"/>
        <v>-372896.502</v>
      </c>
      <c r="AY76" s="26">
        <v>80217.8</v>
      </c>
    </row>
    <row r="77" spans="1:51" ht="15.75" customHeight="1">
      <c r="A77" s="1">
        <v>69</v>
      </c>
      <c r="B77" s="1" t="s">
        <v>95</v>
      </c>
      <c r="C77" s="1">
        <v>2008.3</v>
      </c>
      <c r="D77" s="1">
        <v>0</v>
      </c>
      <c r="E77" s="1">
        <f t="shared" si="15"/>
        <v>2008.3</v>
      </c>
      <c r="F77" s="2">
        <v>13.34</v>
      </c>
      <c r="G77" s="2">
        <f t="shared" si="17"/>
        <v>26790.721999999998</v>
      </c>
      <c r="H77" s="2">
        <f t="shared" si="18"/>
        <v>160744.332</v>
      </c>
      <c r="I77" s="2">
        <f t="shared" si="27"/>
        <v>13.34</v>
      </c>
      <c r="J77" s="2">
        <f t="shared" si="25"/>
        <v>26790.721999999998</v>
      </c>
      <c r="K77" s="2">
        <f t="shared" si="19"/>
        <v>160744.332</v>
      </c>
      <c r="L77" s="13">
        <f t="shared" si="20"/>
        <v>321488.664</v>
      </c>
      <c r="M77" s="139"/>
      <c r="N77" s="34">
        <f t="shared" si="21"/>
        <v>321488.664</v>
      </c>
      <c r="O77" s="152">
        <v>0</v>
      </c>
      <c r="P77" s="152">
        <v>19074.79</v>
      </c>
      <c r="Q77" s="1">
        <v>0</v>
      </c>
      <c r="R77" s="1">
        <v>8888.13</v>
      </c>
      <c r="S77" s="1">
        <v>0</v>
      </c>
      <c r="T77" s="1">
        <v>26656.92</v>
      </c>
      <c r="U77" s="33">
        <v>0</v>
      </c>
      <c r="V77" s="33">
        <v>169965.44</v>
      </c>
      <c r="W77" s="1">
        <v>0</v>
      </c>
      <c r="X77" s="1">
        <v>176799.74</v>
      </c>
      <c r="Y77" s="1">
        <v>0</v>
      </c>
      <c r="Z77" s="1">
        <v>34486.85</v>
      </c>
      <c r="AA77" s="33">
        <v>0</v>
      </c>
      <c r="AB77" s="33">
        <v>72060.44</v>
      </c>
      <c r="AC77" s="33">
        <v>0</v>
      </c>
      <c r="AD77" s="33">
        <v>15079.48</v>
      </c>
      <c r="AE77" s="33">
        <v>0</v>
      </c>
      <c r="AF77" s="33">
        <v>24249.06</v>
      </c>
      <c r="AG77" s="1">
        <v>0</v>
      </c>
      <c r="AH77" s="1">
        <v>14418.51</v>
      </c>
      <c r="AI77" s="1">
        <v>0</v>
      </c>
      <c r="AJ77" s="1">
        <v>83295.44</v>
      </c>
      <c r="AK77" s="1">
        <v>0</v>
      </c>
      <c r="AL77" s="1">
        <v>19955.6</v>
      </c>
      <c r="AM77" s="9">
        <f t="shared" si="22"/>
        <v>0</v>
      </c>
      <c r="AN77" s="9">
        <f t="shared" si="23"/>
        <v>664930.4</v>
      </c>
      <c r="AO77" s="248">
        <f t="shared" si="24"/>
        <v>664930.4</v>
      </c>
      <c r="AP77" s="10"/>
      <c r="AQ77" s="10"/>
      <c r="AR77" s="10"/>
      <c r="AS77" s="10"/>
      <c r="AT77" s="163">
        <f t="shared" si="26"/>
        <v>664930.4</v>
      </c>
      <c r="AU77" s="2"/>
      <c r="AV77" s="2"/>
      <c r="AW77" s="168"/>
      <c r="AX77" s="21">
        <f t="shared" si="16"/>
        <v>-343441.73600000003</v>
      </c>
      <c r="AY77" s="26">
        <v>89934.32</v>
      </c>
    </row>
    <row r="78" spans="1:51" ht="15.75" customHeight="1">
      <c r="A78" s="1">
        <v>70</v>
      </c>
      <c r="B78" s="1" t="s">
        <v>96</v>
      </c>
      <c r="C78" s="1">
        <v>1070.9</v>
      </c>
      <c r="D78" s="1">
        <v>210.3</v>
      </c>
      <c r="E78" s="1">
        <f t="shared" si="15"/>
        <v>1281.2</v>
      </c>
      <c r="F78" s="2">
        <v>13.34</v>
      </c>
      <c r="G78" s="2">
        <f t="shared" si="17"/>
        <v>17091.208</v>
      </c>
      <c r="H78" s="2">
        <f t="shared" si="18"/>
        <v>102547.24799999999</v>
      </c>
      <c r="I78" s="2">
        <f t="shared" si="27"/>
        <v>13.34</v>
      </c>
      <c r="J78" s="2">
        <f t="shared" si="25"/>
        <v>17091.208</v>
      </c>
      <c r="K78" s="2">
        <f t="shared" si="19"/>
        <v>102547.24799999999</v>
      </c>
      <c r="L78" s="13">
        <f t="shared" si="20"/>
        <v>205094.49599999998</v>
      </c>
      <c r="M78" s="139">
        <v>-21795.08</v>
      </c>
      <c r="N78" s="34">
        <f t="shared" si="21"/>
        <v>183299.41599999997</v>
      </c>
      <c r="O78" s="152">
        <v>0</v>
      </c>
      <c r="P78" s="152">
        <v>7139.59</v>
      </c>
      <c r="Q78" s="1">
        <v>0</v>
      </c>
      <c r="R78" s="1">
        <v>46420.11</v>
      </c>
      <c r="S78" s="1">
        <v>0</v>
      </c>
      <c r="T78" s="1">
        <v>38055.78</v>
      </c>
      <c r="U78" s="33">
        <v>0</v>
      </c>
      <c r="V78" s="33">
        <v>7265.2</v>
      </c>
      <c r="W78" s="1">
        <v>0</v>
      </c>
      <c r="X78" s="1">
        <v>3517.8</v>
      </c>
      <c r="Y78" s="1">
        <v>0</v>
      </c>
      <c r="Z78" s="1">
        <v>3517.8</v>
      </c>
      <c r="AA78" s="33">
        <v>0</v>
      </c>
      <c r="AB78" s="33">
        <v>10499.34</v>
      </c>
      <c r="AC78" s="33">
        <v>0</v>
      </c>
      <c r="AD78" s="33">
        <v>3967.8</v>
      </c>
      <c r="AE78" s="33">
        <v>0</v>
      </c>
      <c r="AF78" s="33">
        <v>3517.8</v>
      </c>
      <c r="AG78" s="1">
        <v>0</v>
      </c>
      <c r="AH78" s="1">
        <v>165975</v>
      </c>
      <c r="AI78" s="1">
        <v>0</v>
      </c>
      <c r="AJ78" s="1">
        <v>99228.45</v>
      </c>
      <c r="AK78" s="1">
        <v>0</v>
      </c>
      <c r="AL78" s="1">
        <v>15335.95</v>
      </c>
      <c r="AM78" s="9">
        <f t="shared" si="22"/>
        <v>0</v>
      </c>
      <c r="AN78" s="9">
        <f t="shared" si="23"/>
        <v>404440.62</v>
      </c>
      <c r="AO78" s="248">
        <f t="shared" si="24"/>
        <v>404440.62</v>
      </c>
      <c r="AP78" s="10"/>
      <c r="AQ78" s="10"/>
      <c r="AR78" s="10"/>
      <c r="AS78" s="10"/>
      <c r="AT78" s="163">
        <f t="shared" si="26"/>
        <v>404440.62</v>
      </c>
      <c r="AU78" s="2"/>
      <c r="AV78" s="2"/>
      <c r="AW78" s="168"/>
      <c r="AX78" s="21">
        <f t="shared" si="16"/>
        <v>-221141.20400000003</v>
      </c>
      <c r="AY78" s="26">
        <v>129400.65</v>
      </c>
    </row>
    <row r="79" spans="1:51" ht="15.75">
      <c r="A79" s="1">
        <v>71</v>
      </c>
      <c r="B79" s="1" t="s">
        <v>97</v>
      </c>
      <c r="C79" s="1">
        <v>2487.5</v>
      </c>
      <c r="D79" s="1">
        <v>0</v>
      </c>
      <c r="E79" s="1">
        <f t="shared" si="15"/>
        <v>2487.5</v>
      </c>
      <c r="F79" s="2">
        <v>14.97</v>
      </c>
      <c r="G79" s="2">
        <f t="shared" si="17"/>
        <v>37237.875</v>
      </c>
      <c r="H79" s="2">
        <f t="shared" si="18"/>
        <v>223427.25</v>
      </c>
      <c r="I79" s="2">
        <f t="shared" si="27"/>
        <v>14.97</v>
      </c>
      <c r="J79" s="2">
        <f t="shared" si="25"/>
        <v>37237.875</v>
      </c>
      <c r="K79" s="2">
        <f t="shared" si="19"/>
        <v>223427.25</v>
      </c>
      <c r="L79" s="13">
        <f t="shared" si="20"/>
        <v>446854.5</v>
      </c>
      <c r="M79" s="139">
        <v>-308995.86</v>
      </c>
      <c r="N79" s="34">
        <f t="shared" si="21"/>
        <v>137858.64</v>
      </c>
      <c r="O79" s="152">
        <v>9082.27</v>
      </c>
      <c r="P79" s="152">
        <v>10808.11</v>
      </c>
      <c r="Q79" s="1">
        <v>5518.61</v>
      </c>
      <c r="R79" s="1">
        <v>11455.15</v>
      </c>
      <c r="S79" s="1">
        <v>21593.64</v>
      </c>
      <c r="T79" s="1">
        <v>23457.49</v>
      </c>
      <c r="U79" s="33">
        <v>14863.7</v>
      </c>
      <c r="V79" s="33">
        <v>8343.63</v>
      </c>
      <c r="W79" s="1">
        <v>30706.23</v>
      </c>
      <c r="X79" s="1">
        <v>8511.3</v>
      </c>
      <c r="Y79" s="1">
        <v>17718.32</v>
      </c>
      <c r="Z79" s="1">
        <v>14116.4</v>
      </c>
      <c r="AA79" s="33">
        <v>14492.24</v>
      </c>
      <c r="AB79" s="33">
        <v>13744.42</v>
      </c>
      <c r="AC79" s="33">
        <v>9751</v>
      </c>
      <c r="AD79" s="33">
        <v>17525.79</v>
      </c>
      <c r="AE79" s="33">
        <v>9751</v>
      </c>
      <c r="AF79" s="33">
        <v>6852.88</v>
      </c>
      <c r="AG79" s="1">
        <v>4577</v>
      </c>
      <c r="AH79" s="1">
        <v>9753.29</v>
      </c>
      <c r="AI79" s="1">
        <v>8376.43</v>
      </c>
      <c r="AJ79" s="1">
        <v>28849.7</v>
      </c>
      <c r="AK79" s="1">
        <v>7542.89</v>
      </c>
      <c r="AL79" s="1">
        <v>8332.99</v>
      </c>
      <c r="AM79" s="9">
        <f t="shared" si="22"/>
        <v>153973.33000000002</v>
      </c>
      <c r="AN79" s="9">
        <f t="shared" si="23"/>
        <v>161751.15</v>
      </c>
      <c r="AO79" s="248">
        <f t="shared" si="24"/>
        <v>315724.48</v>
      </c>
      <c r="AP79" s="10"/>
      <c r="AQ79" s="10">
        <f>84245.51+141617.4</f>
        <v>225862.90999999997</v>
      </c>
      <c r="AR79" s="10"/>
      <c r="AS79" s="10"/>
      <c r="AT79" s="163">
        <f t="shared" si="26"/>
        <v>541587.3899999999</v>
      </c>
      <c r="AU79" s="2"/>
      <c r="AV79" s="2"/>
      <c r="AW79" s="168">
        <v>2408</v>
      </c>
      <c r="AX79" s="21">
        <f t="shared" si="16"/>
        <v>-401320.7499999999</v>
      </c>
      <c r="AY79" s="26">
        <v>274651.11</v>
      </c>
    </row>
    <row r="80" spans="1:51" ht="15.75" customHeight="1">
      <c r="A80" s="1">
        <v>72</v>
      </c>
      <c r="B80" s="1" t="s">
        <v>98</v>
      </c>
      <c r="C80" s="1">
        <v>391.7</v>
      </c>
      <c r="D80" s="1">
        <v>0</v>
      </c>
      <c r="E80" s="1">
        <f t="shared" si="15"/>
        <v>391.7</v>
      </c>
      <c r="F80" s="2">
        <v>12.48</v>
      </c>
      <c r="G80" s="2">
        <f t="shared" si="17"/>
        <v>4888.416</v>
      </c>
      <c r="H80" s="2">
        <f t="shared" si="18"/>
        <v>29330.496</v>
      </c>
      <c r="I80" s="2">
        <f t="shared" si="27"/>
        <v>12.48</v>
      </c>
      <c r="J80" s="2">
        <f t="shared" si="25"/>
        <v>4888.416</v>
      </c>
      <c r="K80" s="2">
        <f t="shared" si="19"/>
        <v>29330.496</v>
      </c>
      <c r="L80" s="13">
        <f t="shared" si="20"/>
        <v>58660.992</v>
      </c>
      <c r="M80" s="139">
        <v>-220417.26</v>
      </c>
      <c r="N80" s="34">
        <f t="shared" si="21"/>
        <v>-161756.268</v>
      </c>
      <c r="O80" s="152">
        <v>0</v>
      </c>
      <c r="P80" s="152">
        <v>1006.67</v>
      </c>
      <c r="Q80" s="1">
        <v>0</v>
      </c>
      <c r="R80" s="1">
        <v>1006.67</v>
      </c>
      <c r="S80" s="1">
        <v>0</v>
      </c>
      <c r="T80" s="1">
        <v>1006.67</v>
      </c>
      <c r="U80" s="33">
        <v>0</v>
      </c>
      <c r="V80" s="33">
        <v>1586.67</v>
      </c>
      <c r="W80" s="1">
        <v>0</v>
      </c>
      <c r="X80" s="1">
        <v>1006.67</v>
      </c>
      <c r="Y80" s="1">
        <v>0</v>
      </c>
      <c r="Z80" s="1">
        <v>1006.67</v>
      </c>
      <c r="AA80" s="33">
        <v>0</v>
      </c>
      <c r="AB80" s="33">
        <v>4025.91</v>
      </c>
      <c r="AC80" s="33">
        <v>0</v>
      </c>
      <c r="AD80" s="33">
        <v>45406.67</v>
      </c>
      <c r="AE80" s="33">
        <v>0</v>
      </c>
      <c r="AF80" s="33">
        <v>1006.67</v>
      </c>
      <c r="AG80" s="1">
        <v>0</v>
      </c>
      <c r="AH80" s="1">
        <v>2167.08</v>
      </c>
      <c r="AI80" s="1">
        <v>0</v>
      </c>
      <c r="AJ80" s="1">
        <v>1458.4</v>
      </c>
      <c r="AK80" s="1">
        <v>0</v>
      </c>
      <c r="AL80" s="1">
        <v>1006.67</v>
      </c>
      <c r="AM80" s="9">
        <f t="shared" si="22"/>
        <v>0</v>
      </c>
      <c r="AN80" s="9">
        <f t="shared" si="23"/>
        <v>61691.42</v>
      </c>
      <c r="AO80" s="248">
        <f t="shared" si="24"/>
        <v>61691.42</v>
      </c>
      <c r="AP80" s="10"/>
      <c r="AQ80" s="10"/>
      <c r="AR80" s="10">
        <v>199.7</v>
      </c>
      <c r="AS80" s="10"/>
      <c r="AT80" s="163">
        <f t="shared" si="26"/>
        <v>61891.119999999995</v>
      </c>
      <c r="AU80" s="2"/>
      <c r="AV80" s="2">
        <f aca="true" t="shared" si="28" ref="AV80:AV86">E80*0.65+(E80*0.69)*3</f>
        <v>1065.424</v>
      </c>
      <c r="AW80" s="168"/>
      <c r="AX80" s="21">
        <f t="shared" si="16"/>
        <v>-222581.964</v>
      </c>
      <c r="AY80" s="26">
        <v>396566.03</v>
      </c>
    </row>
    <row r="81" spans="1:51" ht="15.75" customHeight="1">
      <c r="A81" s="1">
        <v>73</v>
      </c>
      <c r="B81" s="1" t="s">
        <v>99</v>
      </c>
      <c r="C81" s="1">
        <v>600.9</v>
      </c>
      <c r="D81" s="1">
        <v>0</v>
      </c>
      <c r="E81" s="1">
        <f t="shared" si="15"/>
        <v>600.9</v>
      </c>
      <c r="F81" s="2">
        <v>12.68</v>
      </c>
      <c r="G81" s="2">
        <f t="shared" si="17"/>
        <v>7619.411999999999</v>
      </c>
      <c r="H81" s="2">
        <f t="shared" si="18"/>
        <v>45716.471999999994</v>
      </c>
      <c r="I81" s="2">
        <f t="shared" si="27"/>
        <v>12.68</v>
      </c>
      <c r="J81" s="2">
        <f t="shared" si="25"/>
        <v>7619.411999999999</v>
      </c>
      <c r="K81" s="2">
        <f t="shared" si="19"/>
        <v>45716.471999999994</v>
      </c>
      <c r="L81" s="13">
        <f t="shared" si="20"/>
        <v>91432.94399999999</v>
      </c>
      <c r="M81" s="139"/>
      <c r="N81" s="34">
        <f t="shared" si="21"/>
        <v>91432.94399999999</v>
      </c>
      <c r="O81" s="152">
        <v>0</v>
      </c>
      <c r="P81" s="152">
        <v>2412.19</v>
      </c>
      <c r="Q81" s="1">
        <v>0</v>
      </c>
      <c r="R81" s="1">
        <v>1762.11</v>
      </c>
      <c r="S81" s="1">
        <v>0</v>
      </c>
      <c r="T81" s="1">
        <v>1544.31</v>
      </c>
      <c r="U81" s="33">
        <v>0</v>
      </c>
      <c r="V81" s="33">
        <v>2124.31</v>
      </c>
      <c r="W81" s="1">
        <v>0</v>
      </c>
      <c r="X81" s="1">
        <v>15395.27</v>
      </c>
      <c r="Y81" s="1">
        <v>0</v>
      </c>
      <c r="Z81" s="1">
        <v>1544.31</v>
      </c>
      <c r="AA81" s="33">
        <v>0</v>
      </c>
      <c r="AB81" s="33">
        <v>5620.55</v>
      </c>
      <c r="AC81" s="33">
        <v>0</v>
      </c>
      <c r="AD81" s="33">
        <v>126468.63</v>
      </c>
      <c r="AE81" s="33">
        <v>0</v>
      </c>
      <c r="AF81" s="33">
        <v>1544.31</v>
      </c>
      <c r="AG81" s="1">
        <v>0</v>
      </c>
      <c r="AH81" s="1">
        <v>23325.22</v>
      </c>
      <c r="AI81" s="1">
        <v>0</v>
      </c>
      <c r="AJ81" s="1">
        <v>3286.6</v>
      </c>
      <c r="AK81" s="1">
        <v>0</v>
      </c>
      <c r="AL81" s="1">
        <v>12230.99</v>
      </c>
      <c r="AM81" s="9">
        <f t="shared" si="22"/>
        <v>0</v>
      </c>
      <c r="AN81" s="9">
        <f t="shared" si="23"/>
        <v>197258.8</v>
      </c>
      <c r="AO81" s="248">
        <f t="shared" si="24"/>
        <v>197258.8</v>
      </c>
      <c r="AP81" s="10"/>
      <c r="AQ81" s="10"/>
      <c r="AR81" s="10"/>
      <c r="AS81" s="10"/>
      <c r="AT81" s="163">
        <f t="shared" si="26"/>
        <v>197258.8</v>
      </c>
      <c r="AU81" s="2"/>
      <c r="AV81" s="2">
        <f t="shared" si="28"/>
        <v>1634.4479999999999</v>
      </c>
      <c r="AW81" s="168"/>
      <c r="AX81" s="21">
        <f t="shared" si="16"/>
        <v>-104191.408</v>
      </c>
      <c r="AY81" s="26">
        <v>428771.69</v>
      </c>
    </row>
    <row r="82" spans="1:51" ht="15.75">
      <c r="A82" s="1">
        <v>74</v>
      </c>
      <c r="B82" s="1" t="s">
        <v>461</v>
      </c>
      <c r="C82" s="1">
        <v>379.7</v>
      </c>
      <c r="D82" s="1">
        <v>0</v>
      </c>
      <c r="E82" s="1">
        <f t="shared" si="15"/>
        <v>379.7</v>
      </c>
      <c r="F82" s="143">
        <v>12.28</v>
      </c>
      <c r="G82" s="2">
        <f t="shared" si="17"/>
        <v>4662.715999999999</v>
      </c>
      <c r="H82" s="2">
        <f>E82*10.19+G82*5</f>
        <v>27182.722999999998</v>
      </c>
      <c r="I82" s="2">
        <f t="shared" si="27"/>
        <v>12.28</v>
      </c>
      <c r="J82" s="2">
        <f t="shared" si="25"/>
        <v>4662.715999999999</v>
      </c>
      <c r="K82" s="2">
        <f t="shared" si="19"/>
        <v>27976.295999999995</v>
      </c>
      <c r="L82" s="13">
        <f t="shared" si="20"/>
        <v>55159.01899999999</v>
      </c>
      <c r="M82" s="139">
        <v>-50363.86</v>
      </c>
      <c r="N82" s="34">
        <f t="shared" si="21"/>
        <v>4795.158999999992</v>
      </c>
      <c r="O82" s="152">
        <v>0</v>
      </c>
      <c r="P82" s="152">
        <v>1205.83</v>
      </c>
      <c r="Q82" s="1">
        <v>0</v>
      </c>
      <c r="R82" s="1">
        <v>1205.83</v>
      </c>
      <c r="S82" s="1">
        <v>0</v>
      </c>
      <c r="T82" s="1">
        <v>2818.15</v>
      </c>
      <c r="U82" s="33">
        <v>0</v>
      </c>
      <c r="V82" s="33">
        <v>1785.83</v>
      </c>
      <c r="W82" s="1">
        <v>0</v>
      </c>
      <c r="X82" s="1">
        <v>6525.28</v>
      </c>
      <c r="Y82" s="1">
        <v>0</v>
      </c>
      <c r="Z82" s="1">
        <v>1205.83</v>
      </c>
      <c r="AA82" s="33">
        <v>0</v>
      </c>
      <c r="AB82" s="33">
        <v>2220.83</v>
      </c>
      <c r="AC82" s="33">
        <v>0</v>
      </c>
      <c r="AD82" s="33">
        <v>1205.83</v>
      </c>
      <c r="AE82" s="33">
        <v>0</v>
      </c>
      <c r="AF82" s="33">
        <v>1205.83</v>
      </c>
      <c r="AG82" s="1">
        <v>0</v>
      </c>
      <c r="AH82" s="1">
        <v>2366.24</v>
      </c>
      <c r="AI82" s="1">
        <v>0</v>
      </c>
      <c r="AJ82" s="1">
        <v>1205.83</v>
      </c>
      <c r="AK82" s="1">
        <v>0</v>
      </c>
      <c r="AL82" s="1">
        <v>1205.83</v>
      </c>
      <c r="AM82" s="9">
        <f t="shared" si="22"/>
        <v>0</v>
      </c>
      <c r="AN82" s="9">
        <f t="shared" si="23"/>
        <v>24157.14</v>
      </c>
      <c r="AO82" s="248">
        <f t="shared" si="24"/>
        <v>24157.14</v>
      </c>
      <c r="AP82" s="10"/>
      <c r="AQ82" s="10"/>
      <c r="AR82" s="10"/>
      <c r="AS82" s="10"/>
      <c r="AT82" s="163">
        <f t="shared" si="26"/>
        <v>24157.14</v>
      </c>
      <c r="AU82" s="2"/>
      <c r="AV82" s="2">
        <f t="shared" si="28"/>
        <v>1032.784</v>
      </c>
      <c r="AW82" s="168"/>
      <c r="AX82" s="21">
        <f t="shared" si="16"/>
        <v>-18329.197000000007</v>
      </c>
      <c r="AY82" s="26">
        <v>190849.64</v>
      </c>
    </row>
    <row r="83" spans="1:51" ht="15.75" customHeight="1">
      <c r="A83" s="1">
        <v>75</v>
      </c>
      <c r="B83" s="1" t="s">
        <v>100</v>
      </c>
      <c r="C83" s="1">
        <v>377.8</v>
      </c>
      <c r="D83" s="1">
        <v>0</v>
      </c>
      <c r="E83" s="1">
        <f t="shared" si="15"/>
        <v>377.8</v>
      </c>
      <c r="F83" s="2">
        <v>10.19</v>
      </c>
      <c r="G83" s="2">
        <f t="shared" si="17"/>
        <v>3849.782</v>
      </c>
      <c r="H83" s="2">
        <f t="shared" si="18"/>
        <v>23098.692000000003</v>
      </c>
      <c r="I83" s="2">
        <f t="shared" si="27"/>
        <v>10.19</v>
      </c>
      <c r="J83" s="2">
        <f t="shared" si="25"/>
        <v>3849.782</v>
      </c>
      <c r="K83" s="2">
        <f t="shared" si="19"/>
        <v>23098.692000000003</v>
      </c>
      <c r="L83" s="13">
        <f t="shared" si="20"/>
        <v>46197.384000000005</v>
      </c>
      <c r="M83" s="139">
        <v>-155892.47</v>
      </c>
      <c r="N83" s="34">
        <f t="shared" si="21"/>
        <v>-109695.086</v>
      </c>
      <c r="O83" s="152">
        <v>0</v>
      </c>
      <c r="P83" s="152">
        <v>1200.95</v>
      </c>
      <c r="Q83" s="1">
        <v>0</v>
      </c>
      <c r="R83" s="1">
        <v>1200.95</v>
      </c>
      <c r="S83" s="1">
        <v>0</v>
      </c>
      <c r="T83" s="1">
        <v>1200.95</v>
      </c>
      <c r="U83" s="33">
        <v>0</v>
      </c>
      <c r="V83" s="33">
        <v>1863.64</v>
      </c>
      <c r="W83" s="1">
        <v>0</v>
      </c>
      <c r="X83" s="1">
        <v>1200.95</v>
      </c>
      <c r="Y83" s="1">
        <v>0</v>
      </c>
      <c r="Z83" s="1">
        <v>1200.95</v>
      </c>
      <c r="AA83" s="33">
        <v>0</v>
      </c>
      <c r="AB83" s="33">
        <v>1200.95</v>
      </c>
      <c r="AC83" s="33">
        <v>0</v>
      </c>
      <c r="AD83" s="33">
        <v>1914.95</v>
      </c>
      <c r="AE83" s="33">
        <v>0</v>
      </c>
      <c r="AF83" s="33">
        <v>1914.95</v>
      </c>
      <c r="AG83" s="1">
        <v>0</v>
      </c>
      <c r="AH83" s="1">
        <v>2361.36</v>
      </c>
      <c r="AI83" s="1">
        <v>0</v>
      </c>
      <c r="AJ83" s="1">
        <v>1652.68</v>
      </c>
      <c r="AK83" s="1">
        <v>0</v>
      </c>
      <c r="AL83" s="1">
        <v>1200.95</v>
      </c>
      <c r="AM83" s="9">
        <f t="shared" si="22"/>
        <v>0</v>
      </c>
      <c r="AN83" s="9">
        <f t="shared" si="23"/>
        <v>18114.230000000003</v>
      </c>
      <c r="AO83" s="248">
        <f t="shared" si="24"/>
        <v>18114.230000000003</v>
      </c>
      <c r="AP83" s="10"/>
      <c r="AQ83" s="10"/>
      <c r="AR83" s="10"/>
      <c r="AS83" s="10"/>
      <c r="AT83" s="163">
        <f t="shared" si="26"/>
        <v>18114.230000000003</v>
      </c>
      <c r="AU83" s="2"/>
      <c r="AV83" s="2">
        <f t="shared" si="28"/>
        <v>1027.6159999999998</v>
      </c>
      <c r="AW83" s="168"/>
      <c r="AX83" s="21">
        <f t="shared" si="16"/>
        <v>-126781.7</v>
      </c>
      <c r="AY83" s="26">
        <v>522205.87</v>
      </c>
    </row>
    <row r="84" spans="1:51" ht="15.75">
      <c r="A84" s="1">
        <v>76</v>
      </c>
      <c r="B84" s="1" t="s">
        <v>101</v>
      </c>
      <c r="C84" s="1">
        <v>363.5</v>
      </c>
      <c r="D84" s="1">
        <v>0</v>
      </c>
      <c r="E84" s="1">
        <f t="shared" si="15"/>
        <v>363.5</v>
      </c>
      <c r="F84" s="2">
        <v>10.19</v>
      </c>
      <c r="G84" s="2">
        <f t="shared" si="17"/>
        <v>3704.0649999999996</v>
      </c>
      <c r="H84" s="2">
        <f t="shared" si="18"/>
        <v>22224.39</v>
      </c>
      <c r="I84" s="2">
        <f t="shared" si="27"/>
        <v>10.19</v>
      </c>
      <c r="J84" s="2">
        <f t="shared" si="25"/>
        <v>3704.0649999999996</v>
      </c>
      <c r="K84" s="2">
        <f t="shared" si="19"/>
        <v>22224.39</v>
      </c>
      <c r="L84" s="13">
        <f t="shared" si="20"/>
        <v>44448.78</v>
      </c>
      <c r="M84" s="139">
        <v>-60111.2</v>
      </c>
      <c r="N84" s="34">
        <f t="shared" si="21"/>
        <v>-15662.419999999998</v>
      </c>
      <c r="O84" s="152">
        <v>0</v>
      </c>
      <c r="P84" s="152">
        <v>1164.2</v>
      </c>
      <c r="Q84" s="1">
        <v>0</v>
      </c>
      <c r="R84" s="1">
        <v>1164.2</v>
      </c>
      <c r="S84" s="1">
        <v>0</v>
      </c>
      <c r="T84" s="1">
        <v>1164.2</v>
      </c>
      <c r="U84" s="33">
        <v>0</v>
      </c>
      <c r="V84" s="33">
        <v>1826.89</v>
      </c>
      <c r="W84" s="1">
        <v>0</v>
      </c>
      <c r="X84" s="1">
        <v>1164.2</v>
      </c>
      <c r="Y84" s="1">
        <v>0</v>
      </c>
      <c r="Z84" s="1">
        <v>1164.2</v>
      </c>
      <c r="AA84" s="33">
        <v>0</v>
      </c>
      <c r="AB84" s="33">
        <v>2168.7</v>
      </c>
      <c r="AC84" s="33">
        <v>0</v>
      </c>
      <c r="AD84" s="33">
        <v>1164.2</v>
      </c>
      <c r="AE84" s="33">
        <v>0</v>
      </c>
      <c r="AF84" s="33">
        <v>1164.2</v>
      </c>
      <c r="AG84" s="1">
        <v>0</v>
      </c>
      <c r="AH84" s="1">
        <v>2324.61</v>
      </c>
      <c r="AI84" s="1">
        <v>0</v>
      </c>
      <c r="AJ84" s="1">
        <v>1615.93</v>
      </c>
      <c r="AK84" s="1">
        <v>0</v>
      </c>
      <c r="AL84" s="1">
        <v>1164.2</v>
      </c>
      <c r="AM84" s="9">
        <f t="shared" si="22"/>
        <v>0</v>
      </c>
      <c r="AN84" s="9">
        <f t="shared" si="23"/>
        <v>17249.730000000003</v>
      </c>
      <c r="AO84" s="248">
        <f t="shared" si="24"/>
        <v>17249.730000000003</v>
      </c>
      <c r="AP84" s="10"/>
      <c r="AQ84" s="10"/>
      <c r="AR84" s="10"/>
      <c r="AS84" s="10"/>
      <c r="AT84" s="163">
        <f t="shared" si="26"/>
        <v>17249.730000000003</v>
      </c>
      <c r="AU84" s="2"/>
      <c r="AV84" s="2">
        <f t="shared" si="28"/>
        <v>988.7199999999999</v>
      </c>
      <c r="AW84" s="168"/>
      <c r="AX84" s="21">
        <f t="shared" si="16"/>
        <v>-31923.43</v>
      </c>
      <c r="AY84" s="26">
        <f>51282.92+28278.38</f>
        <v>79561.3</v>
      </c>
    </row>
    <row r="85" spans="1:51" ht="15.75">
      <c r="A85" s="1">
        <v>77</v>
      </c>
      <c r="B85" s="1" t="s">
        <v>102</v>
      </c>
      <c r="C85" s="1">
        <v>609.2</v>
      </c>
      <c r="D85" s="1">
        <v>0</v>
      </c>
      <c r="E85" s="1">
        <f t="shared" si="15"/>
        <v>609.2</v>
      </c>
      <c r="F85" s="2">
        <v>12.48</v>
      </c>
      <c r="G85" s="2">
        <f t="shared" si="17"/>
        <v>7602.816000000001</v>
      </c>
      <c r="H85" s="2">
        <f t="shared" si="18"/>
        <v>45616.89600000001</v>
      </c>
      <c r="I85" s="2">
        <f t="shared" si="27"/>
        <v>12.48</v>
      </c>
      <c r="J85" s="2">
        <f t="shared" si="25"/>
        <v>7602.816000000001</v>
      </c>
      <c r="K85" s="2">
        <f t="shared" si="19"/>
        <v>45616.89600000001</v>
      </c>
      <c r="L85" s="13">
        <f t="shared" si="20"/>
        <v>91233.79200000002</v>
      </c>
      <c r="M85" s="139"/>
      <c r="N85" s="34">
        <f t="shared" si="21"/>
        <v>91233.79200000002</v>
      </c>
      <c r="O85" s="152">
        <v>0</v>
      </c>
      <c r="P85" s="152">
        <v>1795.64</v>
      </c>
      <c r="Q85" s="1">
        <v>0</v>
      </c>
      <c r="R85" s="1">
        <v>1795.64</v>
      </c>
      <c r="S85" s="1">
        <v>0</v>
      </c>
      <c r="T85" s="1">
        <v>1795.64</v>
      </c>
      <c r="U85" s="33">
        <v>0</v>
      </c>
      <c r="V85" s="33">
        <v>2623.7</v>
      </c>
      <c r="W85" s="1">
        <v>0</v>
      </c>
      <c r="X85" s="1">
        <v>12562.54</v>
      </c>
      <c r="Y85" s="1">
        <v>0</v>
      </c>
      <c r="Z85" s="1">
        <v>1795.64</v>
      </c>
      <c r="AA85" s="33">
        <v>0</v>
      </c>
      <c r="AB85" s="33">
        <v>2702.14</v>
      </c>
      <c r="AC85" s="33">
        <v>0</v>
      </c>
      <c r="AD85" s="33">
        <v>4738.85</v>
      </c>
      <c r="AE85" s="33">
        <v>0</v>
      </c>
      <c r="AF85" s="33">
        <v>21744.4</v>
      </c>
      <c r="AG85" s="1">
        <v>0</v>
      </c>
      <c r="AH85" s="1">
        <v>12001.07</v>
      </c>
      <c r="AI85" s="1">
        <v>0</v>
      </c>
      <c r="AJ85" s="1">
        <v>2247.37</v>
      </c>
      <c r="AK85" s="1">
        <v>0</v>
      </c>
      <c r="AL85" s="1">
        <v>44700.05</v>
      </c>
      <c r="AM85" s="9">
        <f t="shared" si="22"/>
        <v>0</v>
      </c>
      <c r="AN85" s="9">
        <f t="shared" si="23"/>
        <v>110502.68000000001</v>
      </c>
      <c r="AO85" s="248">
        <f t="shared" si="24"/>
        <v>110502.68000000001</v>
      </c>
      <c r="AP85" s="10"/>
      <c r="AQ85" s="10">
        <f>1782.91-919.75</f>
        <v>863.1600000000001</v>
      </c>
      <c r="AR85" s="10">
        <v>310.59</v>
      </c>
      <c r="AS85" s="10"/>
      <c r="AT85" s="163">
        <f t="shared" si="26"/>
        <v>111676.43000000001</v>
      </c>
      <c r="AU85" s="2"/>
      <c r="AV85" s="2">
        <f t="shared" si="28"/>
        <v>1657.0240000000001</v>
      </c>
      <c r="AW85" s="168"/>
      <c r="AX85" s="21">
        <f t="shared" si="16"/>
        <v>-18785.61399999999</v>
      </c>
      <c r="AY85" s="26">
        <v>57137.1</v>
      </c>
    </row>
    <row r="86" spans="1:51" ht="15.75">
      <c r="A86" s="1">
        <v>78</v>
      </c>
      <c r="B86" s="1" t="s">
        <v>103</v>
      </c>
      <c r="C86" s="1">
        <v>465</v>
      </c>
      <c r="D86" s="1">
        <v>0</v>
      </c>
      <c r="E86" s="1">
        <f t="shared" si="15"/>
        <v>465</v>
      </c>
      <c r="F86" s="2">
        <v>12.48</v>
      </c>
      <c r="G86" s="2">
        <f t="shared" si="17"/>
        <v>5803.2</v>
      </c>
      <c r="H86" s="2">
        <f t="shared" si="18"/>
        <v>34819.2</v>
      </c>
      <c r="I86" s="2">
        <f t="shared" si="27"/>
        <v>12.48</v>
      </c>
      <c r="J86" s="2">
        <f t="shared" si="25"/>
        <v>5803.2</v>
      </c>
      <c r="K86" s="2">
        <f t="shared" si="19"/>
        <v>34819.2</v>
      </c>
      <c r="L86" s="13">
        <f t="shared" si="20"/>
        <v>69638.4</v>
      </c>
      <c r="M86" s="139">
        <v>-259943.04</v>
      </c>
      <c r="N86" s="34">
        <f t="shared" si="21"/>
        <v>-190304.64</v>
      </c>
      <c r="O86" s="152">
        <v>0</v>
      </c>
      <c r="P86" s="152">
        <v>3460.86</v>
      </c>
      <c r="Q86" s="1">
        <v>0</v>
      </c>
      <c r="R86" s="1">
        <v>1425.05</v>
      </c>
      <c r="S86" s="1">
        <v>0</v>
      </c>
      <c r="T86" s="1">
        <v>1425.05</v>
      </c>
      <c r="U86" s="33">
        <v>0</v>
      </c>
      <c r="V86" s="33">
        <v>2005.05</v>
      </c>
      <c r="W86" s="1">
        <v>0</v>
      </c>
      <c r="X86" s="1">
        <v>15513.27</v>
      </c>
      <c r="Y86" s="1">
        <v>0</v>
      </c>
      <c r="Z86" s="1">
        <v>3811.16</v>
      </c>
      <c r="AA86" s="33">
        <v>0</v>
      </c>
      <c r="AB86" s="33">
        <v>1425.05</v>
      </c>
      <c r="AC86" s="33">
        <v>0</v>
      </c>
      <c r="AD86" s="33">
        <v>2331.55</v>
      </c>
      <c r="AE86" s="33">
        <v>0</v>
      </c>
      <c r="AF86" s="33">
        <v>1425.05</v>
      </c>
      <c r="AG86" s="1">
        <v>0</v>
      </c>
      <c r="AH86" s="1">
        <v>2585.46</v>
      </c>
      <c r="AI86" s="1">
        <v>0</v>
      </c>
      <c r="AJ86" s="1">
        <v>1876.78</v>
      </c>
      <c r="AK86" s="1">
        <v>0</v>
      </c>
      <c r="AL86" s="1">
        <v>1425.05</v>
      </c>
      <c r="AM86" s="9">
        <f t="shared" si="22"/>
        <v>0</v>
      </c>
      <c r="AN86" s="9">
        <f t="shared" si="23"/>
        <v>38709.38</v>
      </c>
      <c r="AO86" s="248">
        <f t="shared" si="24"/>
        <v>38709.38</v>
      </c>
      <c r="AP86" s="10"/>
      <c r="AQ86" s="10">
        <v>1782.91</v>
      </c>
      <c r="AR86" s="10">
        <v>237.07</v>
      </c>
      <c r="AS86" s="10"/>
      <c r="AT86" s="163">
        <f t="shared" si="26"/>
        <v>40729.36</v>
      </c>
      <c r="AU86" s="2"/>
      <c r="AV86" s="2">
        <f t="shared" si="28"/>
        <v>1264.8</v>
      </c>
      <c r="AW86" s="168"/>
      <c r="AX86" s="21">
        <f t="shared" si="16"/>
        <v>-229769.2</v>
      </c>
      <c r="AY86" s="26">
        <v>72212.14</v>
      </c>
    </row>
    <row r="87" spans="1:51" ht="15.75">
      <c r="A87" s="1">
        <v>79</v>
      </c>
      <c r="B87" s="1" t="s">
        <v>104</v>
      </c>
      <c r="C87" s="1">
        <v>5597.7</v>
      </c>
      <c r="D87" s="1">
        <v>251.2</v>
      </c>
      <c r="E87" s="1">
        <f t="shared" si="15"/>
        <v>5848.9</v>
      </c>
      <c r="F87" s="2">
        <v>14.96</v>
      </c>
      <c r="G87" s="2">
        <f t="shared" si="17"/>
        <v>87499.544</v>
      </c>
      <c r="H87" s="2">
        <f t="shared" si="18"/>
        <v>524997.264</v>
      </c>
      <c r="I87" s="2">
        <f t="shared" si="27"/>
        <v>14.96</v>
      </c>
      <c r="J87" s="2">
        <f t="shared" si="25"/>
        <v>87499.544</v>
      </c>
      <c r="K87" s="2">
        <f t="shared" si="19"/>
        <v>524997.264</v>
      </c>
      <c r="L87" s="13">
        <f t="shared" si="20"/>
        <v>1049994.528</v>
      </c>
      <c r="M87" s="139"/>
      <c r="N87" s="34">
        <f t="shared" si="21"/>
        <v>1049994.528</v>
      </c>
      <c r="O87" s="152">
        <v>0</v>
      </c>
      <c r="P87" s="152">
        <v>68743.79</v>
      </c>
      <c r="Q87" s="1">
        <v>0</v>
      </c>
      <c r="R87" s="1">
        <v>155705.47</v>
      </c>
      <c r="S87" s="1">
        <v>0</v>
      </c>
      <c r="T87" s="1">
        <v>110031.07</v>
      </c>
      <c r="U87" s="33">
        <v>0</v>
      </c>
      <c r="V87" s="33">
        <v>66887.03</v>
      </c>
      <c r="W87" s="1">
        <v>0</v>
      </c>
      <c r="X87" s="1">
        <v>50705.63</v>
      </c>
      <c r="Y87" s="1">
        <v>0</v>
      </c>
      <c r="Z87" s="1">
        <v>43701.97</v>
      </c>
      <c r="AA87" s="33">
        <v>0</v>
      </c>
      <c r="AB87" s="33">
        <v>53960.35</v>
      </c>
      <c r="AC87" s="33">
        <v>0</v>
      </c>
      <c r="AD87" s="33">
        <v>57256.04</v>
      </c>
      <c r="AE87" s="33">
        <v>0</v>
      </c>
      <c r="AF87" s="33">
        <v>40716.28</v>
      </c>
      <c r="AG87" s="1">
        <v>0</v>
      </c>
      <c r="AH87" s="1">
        <v>29944.34</v>
      </c>
      <c r="AI87" s="1">
        <v>0</v>
      </c>
      <c r="AJ87" s="1">
        <v>40152.77</v>
      </c>
      <c r="AK87" s="1">
        <v>0</v>
      </c>
      <c r="AL87" s="1">
        <v>36418.45</v>
      </c>
      <c r="AM87" s="9">
        <f t="shared" si="22"/>
        <v>0</v>
      </c>
      <c r="AN87" s="9">
        <f t="shared" si="23"/>
        <v>754223.19</v>
      </c>
      <c r="AO87" s="248">
        <f t="shared" si="24"/>
        <v>754223.19</v>
      </c>
      <c r="AP87" s="10"/>
      <c r="AQ87" s="10"/>
      <c r="AR87" s="10">
        <v>2982.19</v>
      </c>
      <c r="AS87" s="10">
        <v>1000</v>
      </c>
      <c r="AT87" s="163">
        <f t="shared" si="26"/>
        <v>758205.3799999999</v>
      </c>
      <c r="AU87" s="2"/>
      <c r="AV87" s="2"/>
      <c r="AW87" s="168"/>
      <c r="AX87" s="21">
        <f t="shared" si="16"/>
        <v>291789.14800000004</v>
      </c>
      <c r="AY87" s="26">
        <v>451143.7</v>
      </c>
    </row>
    <row r="88" spans="1:51" ht="15.75">
      <c r="A88" s="1">
        <v>80</v>
      </c>
      <c r="B88" s="1" t="s">
        <v>105</v>
      </c>
      <c r="C88" s="1">
        <v>469.8</v>
      </c>
      <c r="D88" s="1">
        <v>0</v>
      </c>
      <c r="E88" s="1">
        <f t="shared" si="15"/>
        <v>469.8</v>
      </c>
      <c r="F88" s="2">
        <v>10.38</v>
      </c>
      <c r="G88" s="2">
        <f t="shared" si="17"/>
        <v>4876.524</v>
      </c>
      <c r="H88" s="2">
        <f t="shared" si="18"/>
        <v>29259.144</v>
      </c>
      <c r="I88" s="2">
        <f t="shared" si="27"/>
        <v>10.38</v>
      </c>
      <c r="J88" s="2">
        <f t="shared" si="25"/>
        <v>4876.524</v>
      </c>
      <c r="K88" s="2">
        <f t="shared" si="19"/>
        <v>29259.144</v>
      </c>
      <c r="L88" s="13">
        <f t="shared" si="20"/>
        <v>58518.288</v>
      </c>
      <c r="M88" s="139">
        <v>-90587.75</v>
      </c>
      <c r="N88" s="34">
        <f t="shared" si="21"/>
        <v>-32069.462</v>
      </c>
      <c r="O88" s="152">
        <v>0</v>
      </c>
      <c r="P88" s="152">
        <v>1437.39</v>
      </c>
      <c r="Q88" s="1">
        <v>0</v>
      </c>
      <c r="R88" s="1">
        <v>1520.07</v>
      </c>
      <c r="S88" s="1">
        <v>0</v>
      </c>
      <c r="T88" s="1">
        <v>1437.39</v>
      </c>
      <c r="U88" s="33">
        <v>0</v>
      </c>
      <c r="V88" s="33">
        <v>2017.39</v>
      </c>
      <c r="W88" s="1">
        <v>0</v>
      </c>
      <c r="X88" s="1">
        <v>1437.39</v>
      </c>
      <c r="Y88" s="1">
        <v>0</v>
      </c>
      <c r="Z88" s="1">
        <v>1437.39</v>
      </c>
      <c r="AA88" s="33">
        <v>0</v>
      </c>
      <c r="AB88" s="33">
        <v>3202.58</v>
      </c>
      <c r="AC88" s="33">
        <v>0</v>
      </c>
      <c r="AD88" s="33">
        <v>10252.42</v>
      </c>
      <c r="AE88" s="33">
        <v>0</v>
      </c>
      <c r="AF88" s="33">
        <v>1437.39</v>
      </c>
      <c r="AG88" s="1">
        <v>0</v>
      </c>
      <c r="AH88" s="1">
        <v>1437.39</v>
      </c>
      <c r="AI88" s="1">
        <v>0</v>
      </c>
      <c r="AJ88" s="1">
        <v>1889.12</v>
      </c>
      <c r="AK88" s="1">
        <v>0</v>
      </c>
      <c r="AL88" s="1">
        <v>1437.39</v>
      </c>
      <c r="AM88" s="9">
        <f t="shared" si="22"/>
        <v>0</v>
      </c>
      <c r="AN88" s="9">
        <f t="shared" si="23"/>
        <v>28943.309999999998</v>
      </c>
      <c r="AO88" s="248">
        <f t="shared" si="24"/>
        <v>28943.309999999998</v>
      </c>
      <c r="AP88" s="10"/>
      <c r="AQ88" s="10">
        <f>1782.91+3276</f>
        <v>5058.91</v>
      </c>
      <c r="AR88" s="10">
        <v>239.52</v>
      </c>
      <c r="AS88" s="10"/>
      <c r="AT88" s="163">
        <f t="shared" si="26"/>
        <v>34241.74</v>
      </c>
      <c r="AU88" s="2"/>
      <c r="AV88" s="2">
        <f>E88*0.65+(E88*0.69)*3</f>
        <v>1277.8559999999998</v>
      </c>
      <c r="AW88" s="168"/>
      <c r="AX88" s="21">
        <f t="shared" si="16"/>
        <v>-65033.34599999999</v>
      </c>
      <c r="AY88" s="26">
        <v>141993.49</v>
      </c>
    </row>
    <row r="89" spans="1:51" ht="15.75" customHeight="1">
      <c r="A89" s="1">
        <v>81</v>
      </c>
      <c r="B89" s="1" t="s">
        <v>106</v>
      </c>
      <c r="C89" s="1">
        <v>475.5</v>
      </c>
      <c r="D89" s="1">
        <v>0</v>
      </c>
      <c r="E89" s="1">
        <f t="shared" si="15"/>
        <v>475.5</v>
      </c>
      <c r="F89" s="2">
        <v>9.98</v>
      </c>
      <c r="G89" s="2">
        <f t="shared" si="17"/>
        <v>4745.49</v>
      </c>
      <c r="H89" s="2">
        <f t="shared" si="18"/>
        <v>28472.94</v>
      </c>
      <c r="I89" s="2">
        <f t="shared" si="27"/>
        <v>9.98</v>
      </c>
      <c r="J89" s="2">
        <f t="shared" si="25"/>
        <v>4745.49</v>
      </c>
      <c r="K89" s="2">
        <f t="shared" si="19"/>
        <v>28472.94</v>
      </c>
      <c r="L89" s="13">
        <f t="shared" si="20"/>
        <v>56945.88</v>
      </c>
      <c r="M89" s="139"/>
      <c r="N89" s="34">
        <f t="shared" si="21"/>
        <v>56945.88</v>
      </c>
      <c r="O89" s="152">
        <v>0</v>
      </c>
      <c r="P89" s="152">
        <v>1452.04</v>
      </c>
      <c r="Q89" s="1">
        <v>0</v>
      </c>
      <c r="R89" s="1">
        <v>1452.04</v>
      </c>
      <c r="S89" s="1">
        <v>0</v>
      </c>
      <c r="T89" s="1">
        <v>1452.04</v>
      </c>
      <c r="U89" s="33">
        <v>0</v>
      </c>
      <c r="V89" s="33">
        <v>2032.04</v>
      </c>
      <c r="W89" s="1">
        <v>0</v>
      </c>
      <c r="X89" s="1">
        <v>1452.04</v>
      </c>
      <c r="Y89" s="1">
        <v>0</v>
      </c>
      <c r="Z89" s="1">
        <v>1452.04</v>
      </c>
      <c r="AA89" s="33">
        <v>0</v>
      </c>
      <c r="AB89" s="33">
        <v>2166.04</v>
      </c>
      <c r="AC89" s="33">
        <v>0</v>
      </c>
      <c r="AD89" s="33">
        <v>85853.7</v>
      </c>
      <c r="AE89" s="33">
        <v>0</v>
      </c>
      <c r="AF89" s="33">
        <v>56376.99</v>
      </c>
      <c r="AG89" s="1">
        <v>0</v>
      </c>
      <c r="AH89" s="1">
        <v>2612.45</v>
      </c>
      <c r="AI89" s="1">
        <v>0</v>
      </c>
      <c r="AJ89" s="1">
        <v>1903.77</v>
      </c>
      <c r="AK89" s="1">
        <v>0</v>
      </c>
      <c r="AL89" s="1">
        <v>1452.04</v>
      </c>
      <c r="AM89" s="9">
        <f t="shared" si="22"/>
        <v>0</v>
      </c>
      <c r="AN89" s="9">
        <f t="shared" si="23"/>
        <v>159657.23</v>
      </c>
      <c r="AO89" s="248">
        <f t="shared" si="24"/>
        <v>159657.23</v>
      </c>
      <c r="AP89" s="10"/>
      <c r="AQ89" s="10"/>
      <c r="AR89" s="10">
        <v>242.42</v>
      </c>
      <c r="AS89" s="10"/>
      <c r="AT89" s="163">
        <f t="shared" si="26"/>
        <v>159899.65000000002</v>
      </c>
      <c r="AU89" s="2"/>
      <c r="AV89" s="2">
        <f>E89*0.65+(E89*0.69)*3</f>
        <v>1293.36</v>
      </c>
      <c r="AW89" s="168"/>
      <c r="AX89" s="21">
        <f t="shared" si="16"/>
        <v>-101660.41000000002</v>
      </c>
      <c r="AY89" s="26">
        <v>91766.94</v>
      </c>
    </row>
    <row r="90" spans="1:51" ht="15.75">
      <c r="A90" s="1">
        <v>82</v>
      </c>
      <c r="B90" s="1" t="s">
        <v>107</v>
      </c>
      <c r="C90" s="1">
        <v>7840</v>
      </c>
      <c r="D90" s="1">
        <v>0</v>
      </c>
      <c r="E90" s="1">
        <f aca="true" t="shared" si="29" ref="E90:E122">C90+D90</f>
        <v>7840</v>
      </c>
      <c r="F90" s="2">
        <v>14.97</v>
      </c>
      <c r="G90" s="2">
        <f t="shared" si="17"/>
        <v>117364.8</v>
      </c>
      <c r="H90" s="2">
        <f t="shared" si="18"/>
        <v>704188.8</v>
      </c>
      <c r="I90" s="2">
        <f t="shared" si="27"/>
        <v>14.97</v>
      </c>
      <c r="J90" s="2">
        <f t="shared" si="25"/>
        <v>117364.8</v>
      </c>
      <c r="K90" s="2">
        <f t="shared" si="19"/>
        <v>704188.8</v>
      </c>
      <c r="L90" s="13">
        <f t="shared" si="20"/>
        <v>1408377.6</v>
      </c>
      <c r="M90" s="139"/>
      <c r="N90" s="34">
        <f t="shared" si="21"/>
        <v>1408377.6</v>
      </c>
      <c r="O90" s="152">
        <v>0</v>
      </c>
      <c r="P90" s="152">
        <v>55846.46</v>
      </c>
      <c r="Q90" s="1">
        <v>0</v>
      </c>
      <c r="R90" s="1">
        <v>111805.17</v>
      </c>
      <c r="S90" s="1">
        <v>0</v>
      </c>
      <c r="T90" s="1">
        <v>220841.91</v>
      </c>
      <c r="U90" s="33">
        <v>0</v>
      </c>
      <c r="V90" s="33">
        <v>136075.1</v>
      </c>
      <c r="W90" s="1">
        <v>0</v>
      </c>
      <c r="X90" s="1">
        <v>76943.62</v>
      </c>
      <c r="Y90" s="1">
        <v>0</v>
      </c>
      <c r="Z90" s="1">
        <v>158932.51</v>
      </c>
      <c r="AA90" s="33">
        <v>0</v>
      </c>
      <c r="AB90" s="33">
        <v>145513.59</v>
      </c>
      <c r="AC90" s="33">
        <v>0</v>
      </c>
      <c r="AD90" s="33">
        <v>131850.23</v>
      </c>
      <c r="AE90" s="33">
        <v>0</v>
      </c>
      <c r="AF90" s="33">
        <v>84980.22</v>
      </c>
      <c r="AG90" s="1">
        <v>0</v>
      </c>
      <c r="AH90" s="1">
        <v>46076.72</v>
      </c>
      <c r="AI90" s="1">
        <v>0</v>
      </c>
      <c r="AJ90" s="1">
        <v>67784.62</v>
      </c>
      <c r="AK90" s="1">
        <v>0</v>
      </c>
      <c r="AL90" s="1">
        <v>47323.56</v>
      </c>
      <c r="AM90" s="9">
        <f t="shared" si="22"/>
        <v>0</v>
      </c>
      <c r="AN90" s="9">
        <f t="shared" si="23"/>
        <v>1283973.71</v>
      </c>
      <c r="AO90" s="248">
        <f t="shared" si="24"/>
        <v>1283973.71</v>
      </c>
      <c r="AP90" s="10"/>
      <c r="AQ90" s="10"/>
      <c r="AR90" s="10"/>
      <c r="AS90" s="10">
        <v>1000</v>
      </c>
      <c r="AT90" s="163">
        <f t="shared" si="26"/>
        <v>1284973.71</v>
      </c>
      <c r="AU90" s="2"/>
      <c r="AV90" s="2"/>
      <c r="AW90" s="168">
        <v>17964</v>
      </c>
      <c r="AX90" s="21">
        <f t="shared" si="16"/>
        <v>141367.89000000013</v>
      </c>
      <c r="AY90" s="26">
        <v>537285.63</v>
      </c>
    </row>
    <row r="91" spans="1:78" s="18" customFormat="1" ht="15.75">
      <c r="A91" s="1">
        <v>83</v>
      </c>
      <c r="B91" s="1" t="s">
        <v>108</v>
      </c>
      <c r="C91" s="1">
        <v>471.4</v>
      </c>
      <c r="D91" s="1">
        <v>0</v>
      </c>
      <c r="E91" s="1">
        <f t="shared" si="29"/>
        <v>471.4</v>
      </c>
      <c r="F91" s="2">
        <v>12.28</v>
      </c>
      <c r="G91" s="2">
        <f t="shared" si="17"/>
        <v>5788.7919999999995</v>
      </c>
      <c r="H91" s="2">
        <f t="shared" si="18"/>
        <v>34732.75199999999</v>
      </c>
      <c r="I91" s="2">
        <f t="shared" si="27"/>
        <v>12.28</v>
      </c>
      <c r="J91" s="2">
        <f t="shared" si="25"/>
        <v>5788.7919999999995</v>
      </c>
      <c r="K91" s="2">
        <f t="shared" si="19"/>
        <v>34732.75199999999</v>
      </c>
      <c r="L91" s="13">
        <f t="shared" si="20"/>
        <v>69465.50399999999</v>
      </c>
      <c r="M91" s="139"/>
      <c r="N91" s="34">
        <f t="shared" si="21"/>
        <v>69465.50399999999</v>
      </c>
      <c r="O91" s="152">
        <v>0</v>
      </c>
      <c r="P91" s="152">
        <v>1441.5</v>
      </c>
      <c r="Q91" s="1">
        <v>0</v>
      </c>
      <c r="R91" s="1">
        <v>1441.5</v>
      </c>
      <c r="S91" s="1">
        <v>0</v>
      </c>
      <c r="T91" s="1">
        <v>5213.96</v>
      </c>
      <c r="U91" s="33">
        <v>0</v>
      </c>
      <c r="V91" s="33">
        <v>2021.5</v>
      </c>
      <c r="W91" s="1">
        <v>0</v>
      </c>
      <c r="X91" s="1">
        <v>1441.5</v>
      </c>
      <c r="Y91" s="1">
        <v>0</v>
      </c>
      <c r="Z91" s="1">
        <v>1441.5</v>
      </c>
      <c r="AA91" s="33">
        <v>0</v>
      </c>
      <c r="AB91" s="33">
        <v>2533.5</v>
      </c>
      <c r="AC91" s="33">
        <v>0</v>
      </c>
      <c r="AD91" s="33">
        <v>1441.5</v>
      </c>
      <c r="AE91" s="33">
        <v>0</v>
      </c>
      <c r="AF91" s="33">
        <v>97055.96</v>
      </c>
      <c r="AG91" s="1">
        <v>0</v>
      </c>
      <c r="AH91" s="1">
        <v>9957.42</v>
      </c>
      <c r="AI91" s="1">
        <v>0</v>
      </c>
      <c r="AJ91" s="1">
        <v>1893.23</v>
      </c>
      <c r="AK91" s="1">
        <v>0</v>
      </c>
      <c r="AL91" s="1">
        <v>1441.5</v>
      </c>
      <c r="AM91" s="9">
        <f t="shared" si="22"/>
        <v>0</v>
      </c>
      <c r="AN91" s="9">
        <f t="shared" si="23"/>
        <v>127324.57</v>
      </c>
      <c r="AO91" s="248">
        <f t="shared" si="24"/>
        <v>127324.57</v>
      </c>
      <c r="AP91" s="10"/>
      <c r="AQ91" s="10"/>
      <c r="AR91" s="10"/>
      <c r="AS91" s="10"/>
      <c r="AT91" s="163">
        <f t="shared" si="26"/>
        <v>127324.57</v>
      </c>
      <c r="AU91" s="2"/>
      <c r="AV91" s="2">
        <f>E91*0.65+(E91*0.69)*3</f>
        <v>1282.2079999999999</v>
      </c>
      <c r="AW91" s="168"/>
      <c r="AX91" s="21">
        <f t="shared" si="16"/>
        <v>-56576.85800000002</v>
      </c>
      <c r="AY91" s="26">
        <v>133762.27</v>
      </c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</row>
    <row r="92" spans="1:51" ht="15.75" customHeight="1">
      <c r="A92" s="1">
        <v>84</v>
      </c>
      <c r="B92" s="1" t="s">
        <v>109</v>
      </c>
      <c r="C92" s="1">
        <v>361.2</v>
      </c>
      <c r="D92" s="1">
        <v>0</v>
      </c>
      <c r="E92" s="1">
        <f t="shared" si="29"/>
        <v>361.2</v>
      </c>
      <c r="F92" s="2">
        <v>12.28</v>
      </c>
      <c r="G92" s="2">
        <f t="shared" si="17"/>
        <v>4435.536</v>
      </c>
      <c r="H92" s="2">
        <f t="shared" si="18"/>
        <v>26613.216</v>
      </c>
      <c r="I92" s="2">
        <f t="shared" si="27"/>
        <v>12.28</v>
      </c>
      <c r="J92" s="2">
        <f t="shared" si="25"/>
        <v>4435.536</v>
      </c>
      <c r="K92" s="2">
        <f t="shared" si="19"/>
        <v>26613.216</v>
      </c>
      <c r="L92" s="13">
        <f t="shared" si="20"/>
        <v>53226.432</v>
      </c>
      <c r="M92" s="139"/>
      <c r="N92" s="34">
        <f t="shared" si="21"/>
        <v>53226.432</v>
      </c>
      <c r="O92" s="152">
        <v>0</v>
      </c>
      <c r="P92" s="152">
        <v>1772.32</v>
      </c>
      <c r="Q92" s="1">
        <v>0</v>
      </c>
      <c r="R92" s="1">
        <v>4827.1</v>
      </c>
      <c r="S92" s="1">
        <v>0</v>
      </c>
      <c r="T92" s="1">
        <v>8544.78</v>
      </c>
      <c r="U92" s="33">
        <v>0</v>
      </c>
      <c r="V92" s="33">
        <v>2352.32</v>
      </c>
      <c r="W92" s="1">
        <v>0</v>
      </c>
      <c r="X92" s="1">
        <v>7580.05</v>
      </c>
      <c r="Y92" s="1">
        <v>0</v>
      </c>
      <c r="Z92" s="1">
        <v>2299.68</v>
      </c>
      <c r="AA92" s="33">
        <v>0</v>
      </c>
      <c r="AB92" s="33">
        <v>2299.68</v>
      </c>
      <c r="AC92" s="33">
        <v>0</v>
      </c>
      <c r="AD92" s="33">
        <v>2299.68</v>
      </c>
      <c r="AE92" s="33">
        <v>0</v>
      </c>
      <c r="AF92" s="33">
        <v>2299.68</v>
      </c>
      <c r="AG92" s="1">
        <v>0</v>
      </c>
      <c r="AH92" s="1">
        <v>2932.73</v>
      </c>
      <c r="AI92" s="1">
        <v>0</v>
      </c>
      <c r="AJ92" s="1">
        <v>6747.32</v>
      </c>
      <c r="AK92" s="1">
        <v>0</v>
      </c>
      <c r="AL92" s="1">
        <v>5375.39</v>
      </c>
      <c r="AM92" s="9">
        <f t="shared" si="22"/>
        <v>0</v>
      </c>
      <c r="AN92" s="9">
        <f t="shared" si="23"/>
        <v>49330.73</v>
      </c>
      <c r="AO92" s="248">
        <f t="shared" si="24"/>
        <v>49330.73</v>
      </c>
      <c r="AP92" s="10"/>
      <c r="AQ92" s="10"/>
      <c r="AR92" s="10"/>
      <c r="AS92" s="10"/>
      <c r="AT92" s="163">
        <f t="shared" si="26"/>
        <v>49330.73</v>
      </c>
      <c r="AU92" s="2"/>
      <c r="AV92" s="2">
        <f>E92*0.65+(E92*0.69)*3</f>
        <v>982.4639999999999</v>
      </c>
      <c r="AW92" s="168"/>
      <c r="AX92" s="21">
        <f t="shared" si="16"/>
        <v>4878.165999999997</v>
      </c>
      <c r="AY92" s="26">
        <v>40929.29</v>
      </c>
    </row>
    <row r="93" spans="1:51" ht="15.75" customHeight="1">
      <c r="A93" s="1">
        <v>85</v>
      </c>
      <c r="B93" s="1" t="s">
        <v>110</v>
      </c>
      <c r="C93" s="1">
        <v>692.1</v>
      </c>
      <c r="D93" s="1">
        <v>0</v>
      </c>
      <c r="E93" s="1">
        <f t="shared" si="29"/>
        <v>692.1</v>
      </c>
      <c r="F93" s="2">
        <v>14.88</v>
      </c>
      <c r="G93" s="2">
        <f t="shared" si="17"/>
        <v>10298.448</v>
      </c>
      <c r="H93" s="2">
        <f t="shared" si="18"/>
        <v>61790.688</v>
      </c>
      <c r="I93" s="2">
        <f t="shared" si="27"/>
        <v>14.88</v>
      </c>
      <c r="J93" s="2">
        <f t="shared" si="25"/>
        <v>10298.448</v>
      </c>
      <c r="K93" s="2">
        <f t="shared" si="19"/>
        <v>61790.688</v>
      </c>
      <c r="L93" s="13">
        <f t="shared" si="20"/>
        <v>123581.376</v>
      </c>
      <c r="M93" s="139">
        <v>-76405.76</v>
      </c>
      <c r="N93" s="34">
        <f t="shared" si="21"/>
        <v>47175.61600000001</v>
      </c>
      <c r="O93" s="152">
        <v>0</v>
      </c>
      <c r="P93" s="152">
        <v>2008.7</v>
      </c>
      <c r="Q93" s="1">
        <v>0</v>
      </c>
      <c r="R93" s="1">
        <v>2008.7</v>
      </c>
      <c r="S93" s="1">
        <v>0</v>
      </c>
      <c r="T93" s="1">
        <v>30588.38</v>
      </c>
      <c r="U93" s="33">
        <v>0</v>
      </c>
      <c r="V93" s="33">
        <v>5380.05</v>
      </c>
      <c r="W93" s="1">
        <v>0</v>
      </c>
      <c r="X93" s="1">
        <v>2368.7</v>
      </c>
      <c r="Y93" s="1">
        <v>0</v>
      </c>
      <c r="Z93" s="1">
        <v>2008.7</v>
      </c>
      <c r="AA93" s="33">
        <v>0</v>
      </c>
      <c r="AB93" s="33">
        <v>2008.7</v>
      </c>
      <c r="AC93" s="33">
        <v>0</v>
      </c>
      <c r="AD93" s="33">
        <v>4734.52</v>
      </c>
      <c r="AE93" s="33">
        <v>0</v>
      </c>
      <c r="AF93" s="33">
        <v>2008.7</v>
      </c>
      <c r="AG93" s="1">
        <v>0</v>
      </c>
      <c r="AH93" s="1">
        <v>3169.11</v>
      </c>
      <c r="AI93" s="1">
        <v>0</v>
      </c>
      <c r="AJ93" s="1">
        <v>3814.27</v>
      </c>
      <c r="AK93" s="1">
        <v>0</v>
      </c>
      <c r="AL93" s="1">
        <v>2540</v>
      </c>
      <c r="AM93" s="9">
        <f t="shared" si="22"/>
        <v>0</v>
      </c>
      <c r="AN93" s="9">
        <f t="shared" si="23"/>
        <v>62638.52999999999</v>
      </c>
      <c r="AO93" s="248">
        <f t="shared" si="24"/>
        <v>62638.52999999999</v>
      </c>
      <c r="AP93" s="10"/>
      <c r="AQ93" s="10"/>
      <c r="AR93" s="10"/>
      <c r="AS93" s="10"/>
      <c r="AT93" s="163">
        <f t="shared" si="26"/>
        <v>62638.52999999999</v>
      </c>
      <c r="AU93" s="2"/>
      <c r="AV93" s="2"/>
      <c r="AW93" s="168"/>
      <c r="AX93" s="21">
        <f t="shared" si="16"/>
        <v>-15462.913999999982</v>
      </c>
      <c r="AY93" s="26">
        <v>175386.65</v>
      </c>
    </row>
    <row r="94" spans="1:51" ht="15.75">
      <c r="A94" s="1">
        <v>86</v>
      </c>
      <c r="B94" s="1" t="s">
        <v>111</v>
      </c>
      <c r="C94" s="1">
        <v>613.3</v>
      </c>
      <c r="D94" s="1">
        <v>0</v>
      </c>
      <c r="E94" s="1">
        <f t="shared" si="29"/>
        <v>613.3</v>
      </c>
      <c r="F94" s="2">
        <v>12.48</v>
      </c>
      <c r="G94" s="2">
        <f t="shared" si="17"/>
        <v>7653.9839999999995</v>
      </c>
      <c r="H94" s="2">
        <f t="shared" si="18"/>
        <v>45923.903999999995</v>
      </c>
      <c r="I94" s="2">
        <f t="shared" si="27"/>
        <v>12.48</v>
      </c>
      <c r="J94" s="2">
        <f t="shared" si="25"/>
        <v>7653.9839999999995</v>
      </c>
      <c r="K94" s="2">
        <f t="shared" si="19"/>
        <v>45923.903999999995</v>
      </c>
      <c r="L94" s="13">
        <f t="shared" si="20"/>
        <v>91847.80799999999</v>
      </c>
      <c r="M94" s="139">
        <v>-106757.76</v>
      </c>
      <c r="N94" s="34">
        <f t="shared" si="21"/>
        <v>-14909.952000000005</v>
      </c>
      <c r="O94" s="152">
        <v>0</v>
      </c>
      <c r="P94" s="152">
        <v>1806.18</v>
      </c>
      <c r="Q94" s="1">
        <v>0</v>
      </c>
      <c r="R94" s="1">
        <v>4313.09</v>
      </c>
      <c r="S94" s="1">
        <v>0</v>
      </c>
      <c r="T94" s="1">
        <v>6848.1</v>
      </c>
      <c r="U94" s="33">
        <v>0</v>
      </c>
      <c r="V94" s="33">
        <v>2468.87</v>
      </c>
      <c r="W94" s="1">
        <v>0</v>
      </c>
      <c r="X94" s="1">
        <v>1806.18</v>
      </c>
      <c r="Y94" s="1">
        <v>0</v>
      </c>
      <c r="Z94" s="1">
        <v>46653.79</v>
      </c>
      <c r="AA94" s="33">
        <v>0</v>
      </c>
      <c r="AB94" s="33">
        <v>2908.68</v>
      </c>
      <c r="AC94" s="33">
        <v>0</v>
      </c>
      <c r="AD94" s="33">
        <v>1806.18</v>
      </c>
      <c r="AE94" s="33">
        <v>0</v>
      </c>
      <c r="AF94" s="33">
        <v>1806.18</v>
      </c>
      <c r="AG94" s="1">
        <v>0</v>
      </c>
      <c r="AH94" s="1">
        <v>3907.7</v>
      </c>
      <c r="AI94" s="1">
        <v>0</v>
      </c>
      <c r="AJ94" s="1">
        <v>2257.91</v>
      </c>
      <c r="AK94" s="1">
        <v>0</v>
      </c>
      <c r="AL94" s="1">
        <v>1806.18</v>
      </c>
      <c r="AM94" s="9">
        <f t="shared" si="22"/>
        <v>0</v>
      </c>
      <c r="AN94" s="9">
        <f t="shared" si="23"/>
        <v>78389.03999999998</v>
      </c>
      <c r="AO94" s="248">
        <f t="shared" si="24"/>
        <v>78389.03999999998</v>
      </c>
      <c r="AP94" s="10"/>
      <c r="AQ94" s="10"/>
      <c r="AR94" s="10">
        <v>312.68</v>
      </c>
      <c r="AS94" s="10"/>
      <c r="AT94" s="163">
        <f t="shared" si="26"/>
        <v>78701.71999999997</v>
      </c>
      <c r="AU94" s="2"/>
      <c r="AV94" s="2">
        <f>E94*0.65+(E94*0.69)*3</f>
        <v>1668.176</v>
      </c>
      <c r="AW94" s="168"/>
      <c r="AX94" s="21">
        <f t="shared" si="16"/>
        <v>-91943.49599999997</v>
      </c>
      <c r="AY94" s="26">
        <v>309437.69</v>
      </c>
    </row>
    <row r="95" spans="1:51" ht="15.75" customHeight="1">
      <c r="A95" s="1">
        <v>87</v>
      </c>
      <c r="B95" s="1" t="s">
        <v>112</v>
      </c>
      <c r="C95" s="1">
        <v>533.6</v>
      </c>
      <c r="D95" s="1">
        <v>0</v>
      </c>
      <c r="E95" s="1">
        <f t="shared" si="29"/>
        <v>533.6</v>
      </c>
      <c r="F95" s="2">
        <v>9.88</v>
      </c>
      <c r="G95" s="2">
        <f t="shared" si="17"/>
        <v>5271.968000000001</v>
      </c>
      <c r="H95" s="2">
        <f t="shared" si="18"/>
        <v>31631.808000000005</v>
      </c>
      <c r="I95" s="2">
        <f t="shared" si="27"/>
        <v>9.88</v>
      </c>
      <c r="J95" s="2">
        <f t="shared" si="25"/>
        <v>5271.968000000001</v>
      </c>
      <c r="K95" s="2">
        <f t="shared" si="19"/>
        <v>31631.808000000005</v>
      </c>
      <c r="L95" s="13">
        <f t="shared" si="20"/>
        <v>63263.61600000001</v>
      </c>
      <c r="M95" s="139"/>
      <c r="N95" s="34">
        <f t="shared" si="21"/>
        <v>63263.61600000001</v>
      </c>
      <c r="O95" s="152">
        <v>0</v>
      </c>
      <c r="P95" s="152">
        <v>1601.35</v>
      </c>
      <c r="Q95" s="1">
        <v>0</v>
      </c>
      <c r="R95" s="1">
        <v>1601.35</v>
      </c>
      <c r="S95" s="1">
        <v>0</v>
      </c>
      <c r="T95" s="1">
        <v>1601.35</v>
      </c>
      <c r="U95" s="33">
        <v>0</v>
      </c>
      <c r="V95" s="33">
        <v>2181.35</v>
      </c>
      <c r="W95" s="1">
        <v>0</v>
      </c>
      <c r="X95" s="1">
        <v>1601.35</v>
      </c>
      <c r="Y95" s="1">
        <v>0</v>
      </c>
      <c r="Z95" s="1">
        <v>1601.35</v>
      </c>
      <c r="AA95" s="33">
        <v>0</v>
      </c>
      <c r="AB95" s="33">
        <v>5897.8</v>
      </c>
      <c r="AC95" s="33">
        <v>0</v>
      </c>
      <c r="AD95" s="33">
        <v>1601.35</v>
      </c>
      <c r="AE95" s="33">
        <v>0</v>
      </c>
      <c r="AF95" s="33">
        <v>1601.35</v>
      </c>
      <c r="AG95" s="1">
        <v>0</v>
      </c>
      <c r="AH95" s="1">
        <v>2761.76</v>
      </c>
      <c r="AI95" s="1">
        <v>0</v>
      </c>
      <c r="AJ95" s="1">
        <v>2031.18</v>
      </c>
      <c r="AK95" s="1">
        <v>0</v>
      </c>
      <c r="AL95" s="1">
        <v>1601.35</v>
      </c>
      <c r="AM95" s="9">
        <f t="shared" si="22"/>
        <v>0</v>
      </c>
      <c r="AN95" s="9">
        <f t="shared" si="23"/>
        <v>25682.89</v>
      </c>
      <c r="AO95" s="248">
        <f t="shared" si="24"/>
        <v>25682.89</v>
      </c>
      <c r="AP95" s="10"/>
      <c r="AQ95" s="10"/>
      <c r="AR95" s="10"/>
      <c r="AS95" s="10"/>
      <c r="AT95" s="163">
        <f t="shared" si="26"/>
        <v>25682.89</v>
      </c>
      <c r="AU95" s="2"/>
      <c r="AV95" s="2"/>
      <c r="AW95" s="168"/>
      <c r="AX95" s="21">
        <f t="shared" si="16"/>
        <v>37580.72600000001</v>
      </c>
      <c r="AY95" s="26">
        <v>60720.79</v>
      </c>
    </row>
    <row r="96" spans="1:51" ht="15.75" customHeight="1">
      <c r="A96" s="1">
        <v>88</v>
      </c>
      <c r="B96" s="1" t="s">
        <v>113</v>
      </c>
      <c r="C96" s="1">
        <v>358.3</v>
      </c>
      <c r="D96" s="1">
        <v>0</v>
      </c>
      <c r="E96" s="1">
        <f t="shared" si="29"/>
        <v>358.3</v>
      </c>
      <c r="F96" s="2">
        <v>12.28</v>
      </c>
      <c r="G96" s="2">
        <f t="shared" si="17"/>
        <v>4399.924</v>
      </c>
      <c r="H96" s="2">
        <f t="shared" si="18"/>
        <v>26399.544</v>
      </c>
      <c r="I96" s="2">
        <f t="shared" si="27"/>
        <v>12.28</v>
      </c>
      <c r="J96" s="2">
        <f t="shared" si="25"/>
        <v>4399.924</v>
      </c>
      <c r="K96" s="2">
        <f t="shared" si="19"/>
        <v>26399.544</v>
      </c>
      <c r="L96" s="13">
        <f t="shared" si="20"/>
        <v>52799.088</v>
      </c>
      <c r="M96" s="139"/>
      <c r="N96" s="34">
        <f t="shared" si="21"/>
        <v>52799.088</v>
      </c>
      <c r="O96" s="152">
        <v>0</v>
      </c>
      <c r="P96" s="152">
        <v>1150.83</v>
      </c>
      <c r="Q96" s="1">
        <v>0</v>
      </c>
      <c r="R96" s="1">
        <v>1150.83</v>
      </c>
      <c r="S96" s="1">
        <v>0</v>
      </c>
      <c r="T96" s="1">
        <v>1150.83</v>
      </c>
      <c r="U96" s="33">
        <v>0</v>
      </c>
      <c r="V96" s="33">
        <v>1730.83</v>
      </c>
      <c r="W96" s="1">
        <v>0</v>
      </c>
      <c r="X96" s="1">
        <v>1150.83</v>
      </c>
      <c r="Y96" s="1">
        <v>0</v>
      </c>
      <c r="Z96" s="1">
        <v>1150.83</v>
      </c>
      <c r="AA96" s="33">
        <v>0</v>
      </c>
      <c r="AB96" s="33">
        <v>1150.83</v>
      </c>
      <c r="AC96" s="33">
        <v>0</v>
      </c>
      <c r="AD96" s="33">
        <v>1150.83</v>
      </c>
      <c r="AE96" s="33">
        <v>0</v>
      </c>
      <c r="AF96" s="33">
        <v>1150.83</v>
      </c>
      <c r="AG96" s="1">
        <v>0</v>
      </c>
      <c r="AH96" s="1">
        <v>1786.49</v>
      </c>
      <c r="AI96" s="1">
        <v>0</v>
      </c>
      <c r="AJ96" s="1">
        <v>1580.66</v>
      </c>
      <c r="AK96" s="1">
        <v>0</v>
      </c>
      <c r="AL96" s="1">
        <v>1150.83</v>
      </c>
      <c r="AM96" s="9">
        <f t="shared" si="22"/>
        <v>0</v>
      </c>
      <c r="AN96" s="9">
        <f t="shared" si="23"/>
        <v>15455.449999999999</v>
      </c>
      <c r="AO96" s="248">
        <f t="shared" si="24"/>
        <v>15455.449999999999</v>
      </c>
      <c r="AP96" s="10"/>
      <c r="AQ96" s="10"/>
      <c r="AR96" s="10"/>
      <c r="AS96" s="10"/>
      <c r="AT96" s="163">
        <f t="shared" si="26"/>
        <v>15455.449999999999</v>
      </c>
      <c r="AU96" s="2"/>
      <c r="AV96" s="2"/>
      <c r="AW96" s="168"/>
      <c r="AX96" s="21">
        <f t="shared" si="16"/>
        <v>37343.638000000006</v>
      </c>
      <c r="AY96" s="26">
        <v>298444.82</v>
      </c>
    </row>
    <row r="97" spans="1:51" ht="15.75" customHeight="1">
      <c r="A97" s="1">
        <v>89</v>
      </c>
      <c r="B97" s="1" t="s">
        <v>114</v>
      </c>
      <c r="C97" s="1">
        <v>522.3</v>
      </c>
      <c r="D97" s="1">
        <v>0</v>
      </c>
      <c r="E97" s="1">
        <f t="shared" si="29"/>
        <v>522.3</v>
      </c>
      <c r="F97" s="2">
        <v>9.88</v>
      </c>
      <c r="G97" s="2">
        <f t="shared" si="17"/>
        <v>5160.324</v>
      </c>
      <c r="H97" s="2">
        <f t="shared" si="18"/>
        <v>30961.943999999996</v>
      </c>
      <c r="I97" s="2">
        <f t="shared" si="27"/>
        <v>9.88</v>
      </c>
      <c r="J97" s="2">
        <f t="shared" si="25"/>
        <v>5160.324</v>
      </c>
      <c r="K97" s="2">
        <f t="shared" si="19"/>
        <v>30961.943999999996</v>
      </c>
      <c r="L97" s="13">
        <f t="shared" si="20"/>
        <v>61923.88799999999</v>
      </c>
      <c r="M97" s="139"/>
      <c r="N97" s="34">
        <f t="shared" si="21"/>
        <v>61923.88799999999</v>
      </c>
      <c r="O97" s="152">
        <v>0</v>
      </c>
      <c r="P97" s="152">
        <v>1568.46</v>
      </c>
      <c r="Q97" s="1">
        <v>0</v>
      </c>
      <c r="R97" s="1">
        <v>1568.46</v>
      </c>
      <c r="S97" s="1">
        <v>0</v>
      </c>
      <c r="T97" s="1">
        <v>1568.46</v>
      </c>
      <c r="U97" s="33">
        <v>0</v>
      </c>
      <c r="V97" s="33">
        <v>2148.46</v>
      </c>
      <c r="W97" s="1">
        <v>0</v>
      </c>
      <c r="X97" s="1">
        <v>1568.46</v>
      </c>
      <c r="Y97" s="1">
        <v>0</v>
      </c>
      <c r="Z97" s="1">
        <v>1568.46</v>
      </c>
      <c r="AA97" s="33">
        <v>0</v>
      </c>
      <c r="AB97" s="33">
        <v>36968.46</v>
      </c>
      <c r="AC97" s="33">
        <v>0</v>
      </c>
      <c r="AD97" s="33">
        <v>1568.46</v>
      </c>
      <c r="AE97" s="33">
        <v>0</v>
      </c>
      <c r="AF97" s="33">
        <v>1568.46</v>
      </c>
      <c r="AG97" s="1">
        <v>0</v>
      </c>
      <c r="AH97" s="1">
        <v>2728.87</v>
      </c>
      <c r="AI97" s="1">
        <v>0</v>
      </c>
      <c r="AJ97" s="1">
        <v>1998.29</v>
      </c>
      <c r="AK97" s="1">
        <v>0</v>
      </c>
      <c r="AL97" s="1">
        <v>1568.46</v>
      </c>
      <c r="AM97" s="9">
        <f t="shared" si="22"/>
        <v>0</v>
      </c>
      <c r="AN97" s="9">
        <f t="shared" si="23"/>
        <v>56391.76</v>
      </c>
      <c r="AO97" s="248">
        <f t="shared" si="24"/>
        <v>56391.76</v>
      </c>
      <c r="AP97" s="10"/>
      <c r="AQ97" s="10"/>
      <c r="AR97" s="10"/>
      <c r="AS97" s="10"/>
      <c r="AT97" s="163">
        <f t="shared" si="26"/>
        <v>56391.76</v>
      </c>
      <c r="AU97" s="2"/>
      <c r="AV97" s="2"/>
      <c r="AW97" s="168">
        <v>13836</v>
      </c>
      <c r="AX97" s="21">
        <f t="shared" si="16"/>
        <v>19368.12799999999</v>
      </c>
      <c r="AY97" s="26">
        <v>7986.94</v>
      </c>
    </row>
    <row r="98" spans="1:51" ht="15.75">
      <c r="A98" s="1">
        <v>90</v>
      </c>
      <c r="B98" s="1" t="s">
        <v>115</v>
      </c>
      <c r="C98" s="1">
        <v>406.1</v>
      </c>
      <c r="D98" s="1">
        <v>0</v>
      </c>
      <c r="E98" s="1">
        <f t="shared" si="29"/>
        <v>406.1</v>
      </c>
      <c r="F98" s="2">
        <v>12.48</v>
      </c>
      <c r="G98" s="2">
        <f t="shared" si="17"/>
        <v>5068.128000000001</v>
      </c>
      <c r="H98" s="2">
        <f t="shared" si="18"/>
        <v>30408.768000000004</v>
      </c>
      <c r="I98" s="2">
        <f t="shared" si="27"/>
        <v>12.48</v>
      </c>
      <c r="J98" s="2">
        <f t="shared" si="25"/>
        <v>5068.128000000001</v>
      </c>
      <c r="K98" s="2">
        <f t="shared" si="19"/>
        <v>30408.768000000004</v>
      </c>
      <c r="L98" s="13">
        <f t="shared" si="20"/>
        <v>60817.53600000001</v>
      </c>
      <c r="M98" s="139">
        <v>-85344.61</v>
      </c>
      <c r="N98" s="34">
        <f t="shared" si="21"/>
        <v>-24527.073999999993</v>
      </c>
      <c r="O98" s="152">
        <v>0</v>
      </c>
      <c r="P98" s="152">
        <v>1273.68</v>
      </c>
      <c r="Q98" s="1">
        <v>0</v>
      </c>
      <c r="R98" s="1">
        <v>1273.68</v>
      </c>
      <c r="S98" s="1">
        <v>0</v>
      </c>
      <c r="T98" s="1">
        <v>26671.4</v>
      </c>
      <c r="U98" s="33">
        <v>0</v>
      </c>
      <c r="V98" s="33">
        <v>1936.37</v>
      </c>
      <c r="W98" s="1">
        <v>0</v>
      </c>
      <c r="X98" s="1">
        <v>1273.68</v>
      </c>
      <c r="Y98" s="1">
        <v>0</v>
      </c>
      <c r="Z98" s="1">
        <v>1273.68</v>
      </c>
      <c r="AA98" s="33">
        <v>0</v>
      </c>
      <c r="AB98" s="33">
        <v>1273.68</v>
      </c>
      <c r="AC98" s="33">
        <v>0</v>
      </c>
      <c r="AD98" s="33">
        <v>93961.96</v>
      </c>
      <c r="AE98" s="33">
        <v>0</v>
      </c>
      <c r="AF98" s="33">
        <v>1273.68</v>
      </c>
      <c r="AG98" s="1">
        <v>0</v>
      </c>
      <c r="AH98" s="1">
        <v>10303.79</v>
      </c>
      <c r="AI98" s="1">
        <v>0</v>
      </c>
      <c r="AJ98" s="1">
        <v>9549.31</v>
      </c>
      <c r="AK98" s="1">
        <v>0</v>
      </c>
      <c r="AL98" s="1">
        <v>13679.13</v>
      </c>
      <c r="AM98" s="9">
        <f t="shared" si="22"/>
        <v>0</v>
      </c>
      <c r="AN98" s="9">
        <f t="shared" si="23"/>
        <v>163744.04</v>
      </c>
      <c r="AO98" s="248">
        <f t="shared" si="24"/>
        <v>163744.04</v>
      </c>
      <c r="AP98" s="10"/>
      <c r="AQ98" s="10"/>
      <c r="AR98" s="12">
        <v>207.04</v>
      </c>
      <c r="AS98" s="10"/>
      <c r="AT98" s="163">
        <f t="shared" si="26"/>
        <v>163951.08000000002</v>
      </c>
      <c r="AU98" s="2"/>
      <c r="AV98" s="2">
        <f>E98*0.65+(E98*0.69)*3</f>
        <v>1104.592</v>
      </c>
      <c r="AW98" s="168"/>
      <c r="AX98" s="21">
        <f t="shared" si="16"/>
        <v>-187373.562</v>
      </c>
      <c r="AY98" s="26">
        <v>132440.32</v>
      </c>
    </row>
    <row r="99" spans="1:51" ht="15.75" customHeight="1">
      <c r="A99" s="1">
        <v>91</v>
      </c>
      <c r="B99" s="1" t="s">
        <v>116</v>
      </c>
      <c r="C99" s="1">
        <v>527.1</v>
      </c>
      <c r="D99" s="1">
        <v>0</v>
      </c>
      <c r="E99" s="1">
        <f t="shared" si="29"/>
        <v>527.1</v>
      </c>
      <c r="F99" s="2">
        <v>11.22</v>
      </c>
      <c r="G99" s="2">
        <f t="shared" si="17"/>
        <v>5914.062000000001</v>
      </c>
      <c r="H99" s="2">
        <f t="shared" si="18"/>
        <v>35484.372</v>
      </c>
      <c r="I99" s="2">
        <f t="shared" si="27"/>
        <v>11.22</v>
      </c>
      <c r="J99" s="2">
        <f t="shared" si="25"/>
        <v>5914.062000000001</v>
      </c>
      <c r="K99" s="2">
        <f t="shared" si="19"/>
        <v>35484.372</v>
      </c>
      <c r="L99" s="13">
        <f t="shared" si="20"/>
        <v>70968.744</v>
      </c>
      <c r="M99" s="139"/>
      <c r="N99" s="34">
        <f t="shared" si="21"/>
        <v>70968.744</v>
      </c>
      <c r="O99" s="152">
        <v>0</v>
      </c>
      <c r="P99" s="152">
        <v>1354.65</v>
      </c>
      <c r="Q99" s="1">
        <v>0</v>
      </c>
      <c r="R99" s="1">
        <v>1354.65</v>
      </c>
      <c r="S99" s="1">
        <v>0</v>
      </c>
      <c r="T99" s="1">
        <v>1354.65</v>
      </c>
      <c r="U99" s="33">
        <v>0</v>
      </c>
      <c r="V99" s="33">
        <v>1934.65</v>
      </c>
      <c r="W99" s="1">
        <v>0</v>
      </c>
      <c r="X99" s="1">
        <v>1354.65</v>
      </c>
      <c r="Y99" s="1">
        <v>0</v>
      </c>
      <c r="Z99" s="1">
        <v>1354.65</v>
      </c>
      <c r="AA99" s="33">
        <v>0</v>
      </c>
      <c r="AB99" s="33">
        <v>36754.65</v>
      </c>
      <c r="AC99" s="33">
        <v>0</v>
      </c>
      <c r="AD99" s="33">
        <v>1354.65</v>
      </c>
      <c r="AE99" s="33">
        <v>0</v>
      </c>
      <c r="AF99" s="33">
        <v>1354.65</v>
      </c>
      <c r="AG99" s="1">
        <v>0</v>
      </c>
      <c r="AH99" s="1">
        <v>2515.06</v>
      </c>
      <c r="AI99" s="1">
        <v>0</v>
      </c>
      <c r="AJ99" s="1">
        <v>1784.48</v>
      </c>
      <c r="AK99" s="1">
        <v>0</v>
      </c>
      <c r="AL99" s="1">
        <v>1354.65</v>
      </c>
      <c r="AM99" s="9">
        <f t="shared" si="22"/>
        <v>0</v>
      </c>
      <c r="AN99" s="9">
        <f t="shared" si="23"/>
        <v>53826.04000000001</v>
      </c>
      <c r="AO99" s="248">
        <f t="shared" si="24"/>
        <v>53826.04000000001</v>
      </c>
      <c r="AP99" s="10"/>
      <c r="AQ99" s="10"/>
      <c r="AR99" s="10"/>
      <c r="AS99" s="10"/>
      <c r="AT99" s="163">
        <f t="shared" si="26"/>
        <v>53826.04000000001</v>
      </c>
      <c r="AU99" s="2"/>
      <c r="AV99" s="2"/>
      <c r="AW99" s="168"/>
      <c r="AX99" s="21">
        <f t="shared" si="16"/>
        <v>17142.703999999998</v>
      </c>
      <c r="AY99" s="26">
        <v>9639.3</v>
      </c>
    </row>
    <row r="100" spans="1:51" ht="15.75" customHeight="1">
      <c r="A100" s="1">
        <v>92</v>
      </c>
      <c r="B100" s="1" t="s">
        <v>117</v>
      </c>
      <c r="C100" s="1">
        <v>626.5</v>
      </c>
      <c r="D100" s="1">
        <v>0</v>
      </c>
      <c r="E100" s="1">
        <f t="shared" si="29"/>
        <v>626.5</v>
      </c>
      <c r="F100" s="2">
        <v>12.28</v>
      </c>
      <c r="G100" s="2">
        <f t="shared" si="17"/>
        <v>7693.419999999999</v>
      </c>
      <c r="H100" s="2">
        <f t="shared" si="18"/>
        <v>46160.52</v>
      </c>
      <c r="I100" s="2">
        <f t="shared" si="27"/>
        <v>12.28</v>
      </c>
      <c r="J100" s="2">
        <f t="shared" si="25"/>
        <v>7693.419999999999</v>
      </c>
      <c r="K100" s="2">
        <f t="shared" si="19"/>
        <v>46160.52</v>
      </c>
      <c r="L100" s="13">
        <f t="shared" si="20"/>
        <v>92321.04</v>
      </c>
      <c r="M100" s="139">
        <v>-14570.69</v>
      </c>
      <c r="N100" s="34">
        <f t="shared" si="21"/>
        <v>77750.34999999999</v>
      </c>
      <c r="O100" s="152">
        <v>0</v>
      </c>
      <c r="P100" s="152">
        <v>2235.48</v>
      </c>
      <c r="Q100" s="1">
        <v>0</v>
      </c>
      <c r="R100" s="1">
        <v>4342.57</v>
      </c>
      <c r="S100" s="1">
        <v>0</v>
      </c>
      <c r="T100" s="1">
        <v>6326.07</v>
      </c>
      <c r="U100" s="33">
        <v>0</v>
      </c>
      <c r="V100" s="33">
        <v>10047.49</v>
      </c>
      <c r="W100" s="1">
        <v>0</v>
      </c>
      <c r="X100" s="1">
        <v>5716.16</v>
      </c>
      <c r="Y100" s="1">
        <v>0</v>
      </c>
      <c r="Z100" s="1">
        <v>2070.11</v>
      </c>
      <c r="AA100" s="33">
        <v>0</v>
      </c>
      <c r="AB100" s="33">
        <v>2070.11</v>
      </c>
      <c r="AC100" s="33">
        <v>0</v>
      </c>
      <c r="AD100" s="33">
        <v>2610.11</v>
      </c>
      <c r="AE100" s="33">
        <v>0</v>
      </c>
      <c r="AF100" s="33">
        <v>2070.11</v>
      </c>
      <c r="AG100" s="1">
        <v>0</v>
      </c>
      <c r="AH100" s="1">
        <v>3230.52</v>
      </c>
      <c r="AI100" s="1">
        <v>0</v>
      </c>
      <c r="AJ100" s="1">
        <v>5853.51</v>
      </c>
      <c r="AK100" s="1">
        <v>0</v>
      </c>
      <c r="AL100" s="1">
        <v>16549.24</v>
      </c>
      <c r="AM100" s="9">
        <f t="shared" si="22"/>
        <v>0</v>
      </c>
      <c r="AN100" s="9">
        <f t="shared" si="23"/>
        <v>63121.479999999996</v>
      </c>
      <c r="AO100" s="248">
        <f t="shared" si="24"/>
        <v>63121.479999999996</v>
      </c>
      <c r="AP100" s="10"/>
      <c r="AQ100" s="10"/>
      <c r="AR100" s="10"/>
      <c r="AS100" s="10"/>
      <c r="AT100" s="163">
        <f t="shared" si="26"/>
        <v>63121.479999999996</v>
      </c>
      <c r="AU100" s="2"/>
      <c r="AV100" s="2">
        <f>E100*0.65+(E100*0.69)*3</f>
        <v>1704.08</v>
      </c>
      <c r="AW100" s="168"/>
      <c r="AX100" s="21">
        <f t="shared" si="16"/>
        <v>16332.949999999995</v>
      </c>
      <c r="AY100" s="26">
        <f>141496.87+9817.31</f>
        <v>151314.18</v>
      </c>
    </row>
    <row r="101" spans="1:51" ht="15.75" customHeight="1">
      <c r="A101" s="1">
        <v>93</v>
      </c>
      <c r="B101" s="1" t="s">
        <v>118</v>
      </c>
      <c r="C101" s="1">
        <v>783.2</v>
      </c>
      <c r="D101" s="1">
        <v>0</v>
      </c>
      <c r="E101" s="1">
        <f t="shared" si="29"/>
        <v>783.2</v>
      </c>
      <c r="F101" s="2">
        <v>8.44</v>
      </c>
      <c r="G101" s="2">
        <f t="shared" si="17"/>
        <v>6610.208</v>
      </c>
      <c r="H101" s="2">
        <f t="shared" si="18"/>
        <v>39661.248</v>
      </c>
      <c r="I101" s="2">
        <f t="shared" si="27"/>
        <v>8.44</v>
      </c>
      <c r="J101" s="2">
        <f t="shared" si="25"/>
        <v>6610.208</v>
      </c>
      <c r="K101" s="2">
        <f t="shared" si="19"/>
        <v>39661.248</v>
      </c>
      <c r="L101" s="13">
        <f t="shared" si="20"/>
        <v>79322.496</v>
      </c>
      <c r="M101" s="139">
        <v>-540179.99</v>
      </c>
      <c r="N101" s="34">
        <f t="shared" si="21"/>
        <v>-460857.494</v>
      </c>
      <c r="O101" s="152">
        <v>0</v>
      </c>
      <c r="P101" s="152">
        <v>2242.82</v>
      </c>
      <c r="Q101" s="1">
        <v>0</v>
      </c>
      <c r="R101" s="1">
        <v>2325.5</v>
      </c>
      <c r="S101" s="1">
        <v>0</v>
      </c>
      <c r="T101" s="1">
        <v>2242.82</v>
      </c>
      <c r="U101" s="33">
        <v>0</v>
      </c>
      <c r="V101" s="33">
        <v>2822.82</v>
      </c>
      <c r="W101" s="1">
        <v>0</v>
      </c>
      <c r="X101" s="1">
        <v>2242.82</v>
      </c>
      <c r="Y101" s="1">
        <v>0</v>
      </c>
      <c r="Z101" s="1">
        <v>2242.82</v>
      </c>
      <c r="AA101" s="33">
        <v>0</v>
      </c>
      <c r="AB101" s="33">
        <v>3299.82</v>
      </c>
      <c r="AC101" s="33">
        <v>0</v>
      </c>
      <c r="AD101" s="33">
        <v>2242.82</v>
      </c>
      <c r="AE101" s="33">
        <v>0</v>
      </c>
      <c r="AF101" s="33">
        <v>2242.82</v>
      </c>
      <c r="AG101" s="1">
        <v>0</v>
      </c>
      <c r="AH101" s="1">
        <v>3403.23</v>
      </c>
      <c r="AI101" s="1">
        <v>0</v>
      </c>
      <c r="AJ101" s="1">
        <v>2242.82</v>
      </c>
      <c r="AK101" s="1">
        <v>0</v>
      </c>
      <c r="AL101" s="1">
        <v>2242.82</v>
      </c>
      <c r="AM101" s="9">
        <f t="shared" si="22"/>
        <v>0</v>
      </c>
      <c r="AN101" s="9">
        <f t="shared" si="23"/>
        <v>29793.929999999997</v>
      </c>
      <c r="AO101" s="248">
        <f t="shared" si="24"/>
        <v>29793.929999999997</v>
      </c>
      <c r="AP101" s="10"/>
      <c r="AQ101" s="10"/>
      <c r="AR101" s="10"/>
      <c r="AS101" s="10"/>
      <c r="AT101" s="163">
        <f t="shared" si="26"/>
        <v>29793.929999999997</v>
      </c>
      <c r="AU101" s="2"/>
      <c r="AV101" s="2">
        <f>E101*0.65+(E101*0.69)*3</f>
        <v>2130.304</v>
      </c>
      <c r="AW101" s="168"/>
      <c r="AX101" s="21">
        <f t="shared" si="16"/>
        <v>-488521.12</v>
      </c>
      <c r="AY101" s="26">
        <v>366284</v>
      </c>
    </row>
    <row r="102" spans="1:51" ht="15.75" customHeight="1">
      <c r="A102" s="1">
        <v>94</v>
      </c>
      <c r="B102" s="1" t="s">
        <v>119</v>
      </c>
      <c r="C102" s="1">
        <v>721.2</v>
      </c>
      <c r="D102" s="1">
        <v>72.3</v>
      </c>
      <c r="E102" s="1">
        <f t="shared" si="29"/>
        <v>793.5</v>
      </c>
      <c r="F102" s="2">
        <v>13</v>
      </c>
      <c r="G102" s="2">
        <f t="shared" si="17"/>
        <v>10315.5</v>
      </c>
      <c r="H102" s="2">
        <f t="shared" si="18"/>
        <v>61893</v>
      </c>
      <c r="I102" s="2">
        <f t="shared" si="27"/>
        <v>13</v>
      </c>
      <c r="J102" s="2">
        <f t="shared" si="25"/>
        <v>10315.5</v>
      </c>
      <c r="K102" s="2">
        <f t="shared" si="19"/>
        <v>61893</v>
      </c>
      <c r="L102" s="13">
        <f t="shared" si="20"/>
        <v>123786</v>
      </c>
      <c r="M102" s="139">
        <v>-108040.78</v>
      </c>
      <c r="N102" s="34">
        <f t="shared" si="21"/>
        <v>15745.220000000001</v>
      </c>
      <c r="O102" s="152">
        <v>0</v>
      </c>
      <c r="P102" s="152">
        <v>2269.3</v>
      </c>
      <c r="Q102" s="1">
        <v>0</v>
      </c>
      <c r="R102" s="1">
        <v>5654.51</v>
      </c>
      <c r="S102" s="1">
        <v>0</v>
      </c>
      <c r="T102" s="1">
        <v>12380.32</v>
      </c>
      <c r="U102" s="33">
        <v>0</v>
      </c>
      <c r="V102" s="33">
        <v>12484.31</v>
      </c>
      <c r="W102" s="1">
        <v>0</v>
      </c>
      <c r="X102" s="1">
        <v>2269.3</v>
      </c>
      <c r="Y102" s="1">
        <v>0</v>
      </c>
      <c r="Z102" s="1">
        <v>2269.3</v>
      </c>
      <c r="AA102" s="33">
        <v>0</v>
      </c>
      <c r="AB102" s="33">
        <v>2269.3</v>
      </c>
      <c r="AC102" s="33">
        <v>0</v>
      </c>
      <c r="AD102" s="33">
        <v>2269.3</v>
      </c>
      <c r="AE102" s="33">
        <v>0</v>
      </c>
      <c r="AF102" s="33">
        <v>18911.95</v>
      </c>
      <c r="AG102" s="1">
        <v>0</v>
      </c>
      <c r="AH102" s="1">
        <v>3429.71</v>
      </c>
      <c r="AI102" s="1">
        <v>0</v>
      </c>
      <c r="AJ102" s="1">
        <v>2721.03</v>
      </c>
      <c r="AK102" s="1">
        <v>0</v>
      </c>
      <c r="AL102" s="1">
        <v>2859.8</v>
      </c>
      <c r="AM102" s="9">
        <f t="shared" si="22"/>
        <v>0</v>
      </c>
      <c r="AN102" s="9">
        <f t="shared" si="23"/>
        <v>69788.13000000002</v>
      </c>
      <c r="AO102" s="248">
        <f t="shared" si="24"/>
        <v>69788.13000000002</v>
      </c>
      <c r="AP102" s="10"/>
      <c r="AQ102" s="10"/>
      <c r="AR102" s="10"/>
      <c r="AS102" s="10"/>
      <c r="AT102" s="163">
        <f t="shared" si="26"/>
        <v>69788.13000000002</v>
      </c>
      <c r="AU102" s="2"/>
      <c r="AV102" s="2"/>
      <c r="AW102" s="168"/>
      <c r="AX102" s="21">
        <f t="shared" si="16"/>
        <v>-54042.91000000002</v>
      </c>
      <c r="AY102" s="26">
        <v>12519.35</v>
      </c>
    </row>
    <row r="103" spans="1:51" ht="15.75">
      <c r="A103" s="1">
        <v>95</v>
      </c>
      <c r="B103" s="1" t="s">
        <v>120</v>
      </c>
      <c r="C103" s="1">
        <v>782.5</v>
      </c>
      <c r="D103" s="1">
        <v>0</v>
      </c>
      <c r="E103" s="1">
        <f t="shared" si="29"/>
        <v>782.5</v>
      </c>
      <c r="F103" s="2">
        <v>9.23</v>
      </c>
      <c r="G103" s="2">
        <f t="shared" si="17"/>
        <v>7222.475</v>
      </c>
      <c r="H103" s="2">
        <f t="shared" si="18"/>
        <v>43334.850000000006</v>
      </c>
      <c r="I103" s="2">
        <f t="shared" si="27"/>
        <v>9.23</v>
      </c>
      <c r="J103" s="2">
        <f t="shared" si="25"/>
        <v>7222.475</v>
      </c>
      <c r="K103" s="2">
        <f t="shared" si="19"/>
        <v>43334.850000000006</v>
      </c>
      <c r="L103" s="13">
        <f t="shared" si="20"/>
        <v>86669.70000000001</v>
      </c>
      <c r="M103" s="139"/>
      <c r="N103" s="34">
        <f t="shared" si="21"/>
        <v>86669.70000000001</v>
      </c>
      <c r="O103" s="152">
        <v>0</v>
      </c>
      <c r="P103" s="152">
        <v>4010.8</v>
      </c>
      <c r="Q103" s="1">
        <v>0</v>
      </c>
      <c r="R103" s="1">
        <v>9644.45</v>
      </c>
      <c r="S103" s="1">
        <v>0</v>
      </c>
      <c r="T103" s="1">
        <v>3078.62</v>
      </c>
      <c r="U103" s="33">
        <v>0</v>
      </c>
      <c r="V103" s="33">
        <v>45996.53</v>
      </c>
      <c r="W103" s="1">
        <v>0</v>
      </c>
      <c r="X103" s="1">
        <v>10892.63</v>
      </c>
      <c r="Y103" s="1">
        <v>0</v>
      </c>
      <c r="Z103" s="1">
        <v>2011.03</v>
      </c>
      <c r="AA103" s="33">
        <v>0</v>
      </c>
      <c r="AB103" s="33">
        <v>163219.08</v>
      </c>
      <c r="AC103" s="33">
        <v>0</v>
      </c>
      <c r="AD103" s="33">
        <v>9115.75</v>
      </c>
      <c r="AE103" s="33">
        <v>0</v>
      </c>
      <c r="AF103" s="33">
        <v>2011.03</v>
      </c>
      <c r="AG103" s="1">
        <v>0</v>
      </c>
      <c r="AH103" s="1">
        <v>5418.48</v>
      </c>
      <c r="AI103" s="1">
        <v>0</v>
      </c>
      <c r="AJ103" s="1">
        <v>2462.76</v>
      </c>
      <c r="AK103" s="1">
        <v>0</v>
      </c>
      <c r="AL103" s="1">
        <v>2011.03</v>
      </c>
      <c r="AM103" s="9">
        <f t="shared" si="22"/>
        <v>0</v>
      </c>
      <c r="AN103" s="9">
        <f t="shared" si="23"/>
        <v>259872.19</v>
      </c>
      <c r="AO103" s="248">
        <f t="shared" si="24"/>
        <v>259872.19</v>
      </c>
      <c r="AP103" s="10"/>
      <c r="AQ103" s="10"/>
      <c r="AR103" s="10"/>
      <c r="AS103" s="10"/>
      <c r="AT103" s="163">
        <f t="shared" si="26"/>
        <v>259872.19</v>
      </c>
      <c r="AU103" s="2"/>
      <c r="AV103" s="2"/>
      <c r="AW103" s="168"/>
      <c r="AX103" s="21">
        <f t="shared" si="16"/>
        <v>-173202.49</v>
      </c>
      <c r="AY103" s="26">
        <v>18502</v>
      </c>
    </row>
    <row r="104" spans="1:51" ht="15.75">
      <c r="A104" s="1">
        <v>96</v>
      </c>
      <c r="B104" s="1" t="s">
        <v>121</v>
      </c>
      <c r="C104" s="1">
        <v>475.4</v>
      </c>
      <c r="D104" s="1">
        <v>0</v>
      </c>
      <c r="E104" s="1">
        <f t="shared" si="29"/>
        <v>475.4</v>
      </c>
      <c r="F104" s="2">
        <v>13</v>
      </c>
      <c r="G104" s="2">
        <f t="shared" si="17"/>
        <v>6180.2</v>
      </c>
      <c r="H104" s="2">
        <f t="shared" si="18"/>
        <v>37081.2</v>
      </c>
      <c r="I104" s="2">
        <f t="shared" si="27"/>
        <v>13</v>
      </c>
      <c r="J104" s="2">
        <f t="shared" si="25"/>
        <v>6180.2</v>
      </c>
      <c r="K104" s="2">
        <f t="shared" si="19"/>
        <v>37081.2</v>
      </c>
      <c r="L104" s="13">
        <f t="shared" si="20"/>
        <v>74162.4</v>
      </c>
      <c r="M104" s="139">
        <v>-280788.49</v>
      </c>
      <c r="N104" s="34">
        <f t="shared" si="21"/>
        <v>-206626.09</v>
      </c>
      <c r="O104" s="152">
        <v>0</v>
      </c>
      <c r="P104" s="152">
        <v>3221.55</v>
      </c>
      <c r="Q104" s="1">
        <v>0</v>
      </c>
      <c r="R104" s="1">
        <v>5609.75</v>
      </c>
      <c r="S104" s="1">
        <v>0</v>
      </c>
      <c r="T104" s="1">
        <v>14800.02</v>
      </c>
      <c r="U104" s="33">
        <v>0</v>
      </c>
      <c r="V104" s="33">
        <v>5478.88</v>
      </c>
      <c r="W104" s="1">
        <v>0</v>
      </c>
      <c r="X104" s="1">
        <v>1221.78</v>
      </c>
      <c r="Y104" s="1">
        <v>0</v>
      </c>
      <c r="Z104" s="1">
        <v>1221.78</v>
      </c>
      <c r="AA104" s="33">
        <v>0</v>
      </c>
      <c r="AB104" s="33">
        <v>2219.28</v>
      </c>
      <c r="AC104" s="33">
        <v>0</v>
      </c>
      <c r="AD104" s="33">
        <v>2582.44</v>
      </c>
      <c r="AE104" s="33">
        <v>0</v>
      </c>
      <c r="AF104" s="33">
        <v>4572.11</v>
      </c>
      <c r="AG104" s="1">
        <v>0</v>
      </c>
      <c r="AH104" s="1">
        <v>29589.15</v>
      </c>
      <c r="AI104" s="1">
        <v>0</v>
      </c>
      <c r="AJ104" s="1">
        <v>1673.51</v>
      </c>
      <c r="AK104" s="1">
        <v>0</v>
      </c>
      <c r="AL104" s="1">
        <v>1472.03</v>
      </c>
      <c r="AM104" s="9">
        <f t="shared" si="22"/>
        <v>0</v>
      </c>
      <c r="AN104" s="9">
        <f t="shared" si="23"/>
        <v>73662.28</v>
      </c>
      <c r="AO104" s="248">
        <f t="shared" si="24"/>
        <v>73662.28</v>
      </c>
      <c r="AP104" s="10"/>
      <c r="AQ104" s="10"/>
      <c r="AR104" s="10"/>
      <c r="AS104" s="10"/>
      <c r="AT104" s="163">
        <f t="shared" si="26"/>
        <v>73662.28</v>
      </c>
      <c r="AU104" s="2"/>
      <c r="AV104" s="2"/>
      <c r="AW104" s="168">
        <v>8740</v>
      </c>
      <c r="AX104" s="21">
        <f t="shared" si="16"/>
        <v>-271548.37</v>
      </c>
      <c r="AY104" s="26">
        <v>221811.48</v>
      </c>
    </row>
    <row r="105" spans="1:51" ht="15.75" customHeight="1">
      <c r="A105" s="1">
        <v>97</v>
      </c>
      <c r="B105" s="1" t="s">
        <v>122</v>
      </c>
      <c r="C105" s="1">
        <v>455.1</v>
      </c>
      <c r="D105" s="1">
        <v>0</v>
      </c>
      <c r="E105" s="1">
        <f t="shared" si="29"/>
        <v>455.1</v>
      </c>
      <c r="F105" s="2">
        <v>9.16</v>
      </c>
      <c r="G105" s="2">
        <f t="shared" si="17"/>
        <v>4168.716</v>
      </c>
      <c r="H105" s="2">
        <f t="shared" si="18"/>
        <v>25012.296000000002</v>
      </c>
      <c r="I105" s="2">
        <f t="shared" si="27"/>
        <v>9.16</v>
      </c>
      <c r="J105" s="2">
        <f t="shared" si="25"/>
        <v>4168.716</v>
      </c>
      <c r="K105" s="2">
        <f t="shared" si="19"/>
        <v>25012.296000000002</v>
      </c>
      <c r="L105" s="13">
        <f t="shared" si="20"/>
        <v>50024.592000000004</v>
      </c>
      <c r="M105" s="139"/>
      <c r="N105" s="34">
        <f t="shared" si="21"/>
        <v>50024.592000000004</v>
      </c>
      <c r="O105" s="152">
        <v>0</v>
      </c>
      <c r="P105" s="152">
        <v>1169.61</v>
      </c>
      <c r="Q105" s="1">
        <v>0</v>
      </c>
      <c r="R105" s="1">
        <v>4224.39</v>
      </c>
      <c r="S105" s="1">
        <v>0</v>
      </c>
      <c r="T105" s="1">
        <v>1169.61</v>
      </c>
      <c r="U105" s="33">
        <v>0</v>
      </c>
      <c r="V105" s="33">
        <v>1749.61</v>
      </c>
      <c r="W105" s="1">
        <v>0</v>
      </c>
      <c r="X105" s="1">
        <v>1169.61</v>
      </c>
      <c r="Y105" s="1">
        <v>0</v>
      </c>
      <c r="Z105" s="1">
        <v>1169.61</v>
      </c>
      <c r="AA105" s="33">
        <v>0</v>
      </c>
      <c r="AB105" s="33">
        <v>67140.71</v>
      </c>
      <c r="AC105" s="33">
        <v>0</v>
      </c>
      <c r="AD105" s="33">
        <v>1169.61</v>
      </c>
      <c r="AE105" s="33">
        <v>0</v>
      </c>
      <c r="AF105" s="33">
        <v>5713.45</v>
      </c>
      <c r="AG105" s="1">
        <v>0</v>
      </c>
      <c r="AH105" s="1">
        <v>6823.56</v>
      </c>
      <c r="AI105" s="1">
        <v>0</v>
      </c>
      <c r="AJ105" s="1">
        <v>9468.83</v>
      </c>
      <c r="AK105" s="1">
        <v>0</v>
      </c>
      <c r="AL105" s="1">
        <v>1419.86</v>
      </c>
      <c r="AM105" s="9">
        <f t="shared" si="22"/>
        <v>0</v>
      </c>
      <c r="AN105" s="9">
        <f t="shared" si="23"/>
        <v>102388.46</v>
      </c>
      <c r="AO105" s="248">
        <f t="shared" si="24"/>
        <v>102388.46</v>
      </c>
      <c r="AP105" s="10"/>
      <c r="AQ105" s="10"/>
      <c r="AR105" s="10"/>
      <c r="AS105" s="10"/>
      <c r="AT105" s="163">
        <f t="shared" si="26"/>
        <v>102388.46</v>
      </c>
      <c r="AU105" s="2"/>
      <c r="AV105" s="2"/>
      <c r="AW105" s="168"/>
      <c r="AX105" s="21">
        <f t="shared" si="16"/>
        <v>-52363.868</v>
      </c>
      <c r="AY105" s="26">
        <v>7625.07</v>
      </c>
    </row>
    <row r="106" spans="1:51" ht="15.75" customHeight="1">
      <c r="A106" s="1">
        <v>98</v>
      </c>
      <c r="B106" s="1" t="s">
        <v>123</v>
      </c>
      <c r="C106" s="1">
        <v>475.1</v>
      </c>
      <c r="D106" s="1">
        <v>0</v>
      </c>
      <c r="E106" s="1">
        <f t="shared" si="29"/>
        <v>475.1</v>
      </c>
      <c r="F106" s="2">
        <v>13</v>
      </c>
      <c r="G106" s="2">
        <f t="shared" si="17"/>
        <v>6176.3</v>
      </c>
      <c r="H106" s="2">
        <f t="shared" si="18"/>
        <v>37057.8</v>
      </c>
      <c r="I106" s="2">
        <f t="shared" si="27"/>
        <v>13</v>
      </c>
      <c r="J106" s="2">
        <f t="shared" si="25"/>
        <v>6176.3</v>
      </c>
      <c r="K106" s="2">
        <f t="shared" si="19"/>
        <v>37057.8</v>
      </c>
      <c r="L106" s="13">
        <f t="shared" si="20"/>
        <v>74115.6</v>
      </c>
      <c r="M106" s="139"/>
      <c r="N106" s="34">
        <f t="shared" si="21"/>
        <v>74115.6</v>
      </c>
      <c r="O106" s="152">
        <v>0</v>
      </c>
      <c r="P106" s="152">
        <v>7182.63</v>
      </c>
      <c r="Q106" s="1">
        <v>0</v>
      </c>
      <c r="R106" s="1">
        <v>3361.87</v>
      </c>
      <c r="S106" s="1">
        <v>0</v>
      </c>
      <c r="T106" s="1">
        <v>17118.52</v>
      </c>
      <c r="U106" s="33">
        <v>0</v>
      </c>
      <c r="V106" s="33">
        <v>2608.68</v>
      </c>
      <c r="W106" s="1">
        <v>0</v>
      </c>
      <c r="X106" s="1">
        <v>2722.32</v>
      </c>
      <c r="Y106" s="1">
        <v>0</v>
      </c>
      <c r="Z106" s="1">
        <v>2722.32</v>
      </c>
      <c r="AA106" s="33">
        <v>0</v>
      </c>
      <c r="AB106" s="33">
        <v>6191.64</v>
      </c>
      <c r="AC106" s="33">
        <v>0</v>
      </c>
      <c r="AD106" s="33">
        <v>28782.98</v>
      </c>
      <c r="AE106" s="33">
        <v>0</v>
      </c>
      <c r="AF106" s="33">
        <v>5309.72</v>
      </c>
      <c r="AG106" s="1">
        <v>0</v>
      </c>
      <c r="AH106" s="1">
        <v>3189.09</v>
      </c>
      <c r="AI106" s="1">
        <v>0</v>
      </c>
      <c r="AJ106" s="1">
        <v>2480.41</v>
      </c>
      <c r="AK106" s="1">
        <v>0</v>
      </c>
      <c r="AL106" s="1">
        <v>4276.95</v>
      </c>
      <c r="AM106" s="9">
        <f t="shared" si="22"/>
        <v>0</v>
      </c>
      <c r="AN106" s="9">
        <f t="shared" si="23"/>
        <v>85947.13</v>
      </c>
      <c r="AO106" s="248">
        <f t="shared" si="24"/>
        <v>85947.13</v>
      </c>
      <c r="AP106" s="10"/>
      <c r="AQ106" s="10"/>
      <c r="AR106" s="10"/>
      <c r="AS106" s="10"/>
      <c r="AT106" s="163">
        <f t="shared" si="26"/>
        <v>85947.13</v>
      </c>
      <c r="AU106" s="2"/>
      <c r="AV106" s="2"/>
      <c r="AW106" s="168"/>
      <c r="AX106" s="21">
        <f t="shared" si="16"/>
        <v>-11831.529999999999</v>
      </c>
      <c r="AY106" s="26">
        <v>59090.09</v>
      </c>
    </row>
    <row r="107" spans="1:51" ht="15.75" customHeight="1">
      <c r="A107" s="1">
        <v>99</v>
      </c>
      <c r="B107" s="1" t="s">
        <v>124</v>
      </c>
      <c r="C107" s="1">
        <v>784.3</v>
      </c>
      <c r="D107" s="1">
        <v>0</v>
      </c>
      <c r="E107" s="1">
        <f t="shared" si="29"/>
        <v>784.3</v>
      </c>
      <c r="F107" s="2">
        <v>13.07</v>
      </c>
      <c r="G107" s="2">
        <f t="shared" si="17"/>
        <v>10250.801</v>
      </c>
      <c r="H107" s="2">
        <f t="shared" si="18"/>
        <v>61504.806</v>
      </c>
      <c r="I107" s="2">
        <f t="shared" si="27"/>
        <v>13.07</v>
      </c>
      <c r="J107" s="2">
        <f t="shared" si="25"/>
        <v>10250.801</v>
      </c>
      <c r="K107" s="2">
        <f t="shared" si="19"/>
        <v>61504.806</v>
      </c>
      <c r="L107" s="13">
        <f t="shared" si="20"/>
        <v>123009.612</v>
      </c>
      <c r="M107" s="139"/>
      <c r="N107" s="34">
        <f t="shared" si="21"/>
        <v>123009.612</v>
      </c>
      <c r="O107" s="152">
        <v>0</v>
      </c>
      <c r="P107" s="152">
        <v>8463.54</v>
      </c>
      <c r="Q107" s="1">
        <v>0</v>
      </c>
      <c r="R107" s="1">
        <v>4930.21</v>
      </c>
      <c r="S107" s="1">
        <v>0</v>
      </c>
      <c r="T107" s="1">
        <v>19188.06</v>
      </c>
      <c r="U107" s="33">
        <v>0</v>
      </c>
      <c r="V107" s="33">
        <v>4011.64</v>
      </c>
      <c r="W107" s="1">
        <v>0</v>
      </c>
      <c r="X107" s="1">
        <v>4494.04</v>
      </c>
      <c r="Y107" s="1">
        <v>0</v>
      </c>
      <c r="Z107" s="1">
        <v>8344.45</v>
      </c>
      <c r="AA107" s="33">
        <v>0</v>
      </c>
      <c r="AB107" s="33">
        <v>10476.64</v>
      </c>
      <c r="AC107" s="33">
        <v>0</v>
      </c>
      <c r="AD107" s="33">
        <v>32549.7</v>
      </c>
      <c r="AE107" s="33">
        <v>0</v>
      </c>
      <c r="AF107" s="33">
        <v>4494.04</v>
      </c>
      <c r="AG107" s="1">
        <v>0</v>
      </c>
      <c r="AH107" s="1">
        <v>10153.08</v>
      </c>
      <c r="AI107" s="1">
        <v>0</v>
      </c>
      <c r="AJ107" s="1">
        <v>3800.69</v>
      </c>
      <c r="AK107" s="1">
        <v>0</v>
      </c>
      <c r="AL107" s="1">
        <v>24750.21</v>
      </c>
      <c r="AM107" s="9">
        <f t="shared" si="22"/>
        <v>0</v>
      </c>
      <c r="AN107" s="9">
        <f t="shared" si="23"/>
        <v>135656.3</v>
      </c>
      <c r="AO107" s="248">
        <f t="shared" si="24"/>
        <v>135656.3</v>
      </c>
      <c r="AP107" s="10"/>
      <c r="AQ107" s="10"/>
      <c r="AR107" s="10"/>
      <c r="AS107" s="10"/>
      <c r="AT107" s="163">
        <f t="shared" si="26"/>
        <v>135656.3</v>
      </c>
      <c r="AU107" s="2"/>
      <c r="AV107" s="2"/>
      <c r="AW107" s="168"/>
      <c r="AX107" s="21">
        <f t="shared" si="16"/>
        <v>-12646.687999999995</v>
      </c>
      <c r="AY107" s="26">
        <v>10979.13</v>
      </c>
    </row>
    <row r="108" spans="1:51" ht="15.75" customHeight="1">
      <c r="A108" s="1">
        <v>100</v>
      </c>
      <c r="B108" s="1" t="s">
        <v>354</v>
      </c>
      <c r="C108" s="1">
        <v>2152.5</v>
      </c>
      <c r="D108" s="1">
        <v>0</v>
      </c>
      <c r="E108" s="1">
        <f t="shared" si="29"/>
        <v>2152.5</v>
      </c>
      <c r="F108" s="2">
        <v>13.85</v>
      </c>
      <c r="G108" s="2">
        <f t="shared" si="17"/>
        <v>29812.125</v>
      </c>
      <c r="H108" s="2">
        <f t="shared" si="18"/>
        <v>178872.75</v>
      </c>
      <c r="I108" s="2">
        <f t="shared" si="27"/>
        <v>13.85</v>
      </c>
      <c r="J108" s="2">
        <f t="shared" si="25"/>
        <v>29812.125</v>
      </c>
      <c r="K108" s="2">
        <f t="shared" si="19"/>
        <v>178872.75</v>
      </c>
      <c r="L108" s="13">
        <f t="shared" si="20"/>
        <v>357745.5</v>
      </c>
      <c r="M108" s="139"/>
      <c r="N108" s="34">
        <f t="shared" si="21"/>
        <v>357745.5</v>
      </c>
      <c r="O108" s="152">
        <v>0</v>
      </c>
      <c r="P108" s="152">
        <v>9722.53</v>
      </c>
      <c r="Q108" s="1">
        <v>0</v>
      </c>
      <c r="R108" s="1">
        <v>9722.53</v>
      </c>
      <c r="S108" s="1">
        <v>0</v>
      </c>
      <c r="T108" s="1">
        <v>10435.19</v>
      </c>
      <c r="U108" s="33">
        <v>0</v>
      </c>
      <c r="V108" s="33">
        <v>10965.21</v>
      </c>
      <c r="W108" s="1">
        <v>0</v>
      </c>
      <c r="X108" s="1">
        <v>14199.73</v>
      </c>
      <c r="Y108" s="1">
        <v>0</v>
      </c>
      <c r="Z108" s="1">
        <v>18050.14</v>
      </c>
      <c r="AA108" s="33">
        <v>0</v>
      </c>
      <c r="AB108" s="33">
        <v>30368.97</v>
      </c>
      <c r="AC108" s="33">
        <v>0</v>
      </c>
      <c r="AD108" s="33">
        <v>14199.73</v>
      </c>
      <c r="AE108" s="33">
        <v>0</v>
      </c>
      <c r="AF108" s="33">
        <v>14199.73</v>
      </c>
      <c r="AG108" s="1">
        <v>0</v>
      </c>
      <c r="AH108" s="1">
        <v>15627.29</v>
      </c>
      <c r="AI108" s="1">
        <v>0</v>
      </c>
      <c r="AJ108" s="1">
        <v>14204.54</v>
      </c>
      <c r="AK108" s="1">
        <v>0</v>
      </c>
      <c r="AL108" s="1">
        <v>10276.94</v>
      </c>
      <c r="AM108" s="9">
        <f t="shared" si="22"/>
        <v>0</v>
      </c>
      <c r="AN108" s="9">
        <f t="shared" si="23"/>
        <v>171972.53000000003</v>
      </c>
      <c r="AO108" s="248">
        <f t="shared" si="24"/>
        <v>171972.53000000003</v>
      </c>
      <c r="AP108" s="10"/>
      <c r="AQ108" s="10"/>
      <c r="AR108" s="10">
        <v>1097.41</v>
      </c>
      <c r="AS108" s="10"/>
      <c r="AT108" s="163">
        <f t="shared" si="26"/>
        <v>173069.94000000003</v>
      </c>
      <c r="AU108" s="2"/>
      <c r="AV108" s="2"/>
      <c r="AW108" s="168"/>
      <c r="AX108" s="21">
        <f t="shared" si="16"/>
        <v>184675.55999999997</v>
      </c>
      <c r="AY108" s="26">
        <v>488785.36</v>
      </c>
    </row>
    <row r="109" spans="1:51" ht="15.75" customHeight="1">
      <c r="A109" s="1">
        <v>101</v>
      </c>
      <c r="B109" s="1" t="s">
        <v>125</v>
      </c>
      <c r="C109" s="1">
        <v>371</v>
      </c>
      <c r="D109" s="1">
        <v>0</v>
      </c>
      <c r="E109" s="1">
        <f t="shared" si="29"/>
        <v>371</v>
      </c>
      <c r="F109" s="2">
        <v>8.39</v>
      </c>
      <c r="G109" s="2">
        <f t="shared" si="17"/>
        <v>3112.69</v>
      </c>
      <c r="H109" s="2">
        <f t="shared" si="18"/>
        <v>18676.14</v>
      </c>
      <c r="I109" s="2">
        <f t="shared" si="27"/>
        <v>8.39</v>
      </c>
      <c r="J109" s="2">
        <f t="shared" si="25"/>
        <v>3112.69</v>
      </c>
      <c r="K109" s="2">
        <f t="shared" si="19"/>
        <v>18676.14</v>
      </c>
      <c r="L109" s="13">
        <f t="shared" si="20"/>
        <v>37352.28</v>
      </c>
      <c r="M109" s="139">
        <v>-42578.07</v>
      </c>
      <c r="N109" s="34">
        <f t="shared" si="21"/>
        <v>-5225.790000000001</v>
      </c>
      <c r="O109" s="152">
        <v>0</v>
      </c>
      <c r="P109" s="152">
        <v>953.47</v>
      </c>
      <c r="Q109" s="1">
        <v>0</v>
      </c>
      <c r="R109" s="1">
        <v>953.47</v>
      </c>
      <c r="S109" s="1">
        <v>0</v>
      </c>
      <c r="T109" s="1">
        <v>953.47</v>
      </c>
      <c r="U109" s="33">
        <v>0</v>
      </c>
      <c r="V109" s="33">
        <v>1533.47</v>
      </c>
      <c r="W109" s="1">
        <v>0</v>
      </c>
      <c r="X109" s="1">
        <v>953.47</v>
      </c>
      <c r="Y109" s="1">
        <v>0</v>
      </c>
      <c r="Z109" s="1">
        <v>953.47</v>
      </c>
      <c r="AA109" s="33">
        <v>0</v>
      </c>
      <c r="AB109" s="33">
        <v>953.47</v>
      </c>
      <c r="AC109" s="33">
        <v>0</v>
      </c>
      <c r="AD109" s="33">
        <v>953.47</v>
      </c>
      <c r="AE109" s="33">
        <v>0</v>
      </c>
      <c r="AF109" s="33">
        <v>953.47</v>
      </c>
      <c r="AG109" s="1">
        <v>0</v>
      </c>
      <c r="AH109" s="1">
        <v>1589.13</v>
      </c>
      <c r="AI109" s="1">
        <v>0</v>
      </c>
      <c r="AJ109" s="1">
        <v>953.47</v>
      </c>
      <c r="AK109" s="1">
        <v>0</v>
      </c>
      <c r="AL109" s="1">
        <v>953.47</v>
      </c>
      <c r="AM109" s="9">
        <f t="shared" si="22"/>
        <v>0</v>
      </c>
      <c r="AN109" s="9">
        <f t="shared" si="23"/>
        <v>12657.3</v>
      </c>
      <c r="AO109" s="248">
        <f t="shared" si="24"/>
        <v>12657.3</v>
      </c>
      <c r="AP109" s="10"/>
      <c r="AQ109" s="10"/>
      <c r="AR109" s="10"/>
      <c r="AS109" s="10"/>
      <c r="AT109" s="163">
        <f t="shared" si="26"/>
        <v>12657.3</v>
      </c>
      <c r="AU109" s="2"/>
      <c r="AV109" s="2"/>
      <c r="AW109" s="168"/>
      <c r="AX109" s="21">
        <f t="shared" si="16"/>
        <v>-17883.09</v>
      </c>
      <c r="AY109" s="1">
        <f>996.46+25878.73</f>
        <v>26875.19</v>
      </c>
    </row>
    <row r="110" spans="1:51" ht="15.75" customHeight="1">
      <c r="A110" s="1">
        <v>102</v>
      </c>
      <c r="B110" s="1" t="s">
        <v>126</v>
      </c>
      <c r="C110" s="1">
        <v>622.5</v>
      </c>
      <c r="D110" s="1">
        <v>0</v>
      </c>
      <c r="E110" s="1">
        <f t="shared" si="29"/>
        <v>622.5</v>
      </c>
      <c r="F110" s="2">
        <v>12.88</v>
      </c>
      <c r="G110" s="2">
        <f t="shared" si="17"/>
        <v>8017.8</v>
      </c>
      <c r="H110" s="2">
        <f t="shared" si="18"/>
        <v>48106.8</v>
      </c>
      <c r="I110" s="2">
        <f t="shared" si="27"/>
        <v>12.88</v>
      </c>
      <c r="J110" s="2">
        <f t="shared" si="25"/>
        <v>8017.8</v>
      </c>
      <c r="K110" s="2">
        <f t="shared" si="19"/>
        <v>48106.8</v>
      </c>
      <c r="L110" s="13">
        <f t="shared" si="20"/>
        <v>96213.6</v>
      </c>
      <c r="M110" s="139"/>
      <c r="N110" s="34">
        <f t="shared" si="21"/>
        <v>96213.6</v>
      </c>
      <c r="O110" s="152">
        <v>0</v>
      </c>
      <c r="P110" s="152">
        <v>3205.23</v>
      </c>
      <c r="Q110" s="1">
        <v>0</v>
      </c>
      <c r="R110" s="1">
        <v>3205.23</v>
      </c>
      <c r="S110" s="1">
        <v>0</v>
      </c>
      <c r="T110" s="1">
        <v>4442.6</v>
      </c>
      <c r="U110" s="33">
        <v>0</v>
      </c>
      <c r="V110" s="33">
        <v>3785.23</v>
      </c>
      <c r="W110" s="1">
        <v>0</v>
      </c>
      <c r="X110" s="1">
        <v>4500.03</v>
      </c>
      <c r="Y110" s="1">
        <v>0</v>
      </c>
      <c r="Z110" s="1">
        <v>4500.03</v>
      </c>
      <c r="AA110" s="33">
        <v>0</v>
      </c>
      <c r="AB110" s="33">
        <v>6120.16</v>
      </c>
      <c r="AC110" s="33">
        <v>0</v>
      </c>
      <c r="AD110" s="33">
        <v>4500.03</v>
      </c>
      <c r="AE110" s="33">
        <v>0</v>
      </c>
      <c r="AF110" s="33">
        <v>4500.03</v>
      </c>
      <c r="AG110" s="1">
        <v>0</v>
      </c>
      <c r="AH110" s="1">
        <v>4365.64</v>
      </c>
      <c r="AI110" s="1">
        <v>0</v>
      </c>
      <c r="AJ110" s="1">
        <v>3656.96</v>
      </c>
      <c r="AK110" s="1">
        <v>0</v>
      </c>
      <c r="AL110" s="1">
        <v>3205.23</v>
      </c>
      <c r="AM110" s="9">
        <f t="shared" si="22"/>
        <v>0</v>
      </c>
      <c r="AN110" s="9">
        <f t="shared" si="23"/>
        <v>49986.4</v>
      </c>
      <c r="AO110" s="248">
        <f t="shared" si="24"/>
        <v>49986.4</v>
      </c>
      <c r="AP110" s="10"/>
      <c r="AQ110" s="10"/>
      <c r="AR110" s="10">
        <v>317.37</v>
      </c>
      <c r="AS110" s="10"/>
      <c r="AT110" s="163">
        <f t="shared" si="26"/>
        <v>50303.770000000004</v>
      </c>
      <c r="AU110" s="2"/>
      <c r="AV110" s="2">
        <f aca="true" t="shared" si="30" ref="AV110:AV116">E110*0.65+(E110*0.69)*3</f>
        <v>1693.1999999999998</v>
      </c>
      <c r="AW110" s="168"/>
      <c r="AX110" s="21">
        <f t="shared" si="16"/>
        <v>47603.03</v>
      </c>
      <c r="AY110" s="26">
        <v>12370.86</v>
      </c>
    </row>
    <row r="111" spans="1:78" s="18" customFormat="1" ht="15.75">
      <c r="A111" s="1">
        <v>103</v>
      </c>
      <c r="B111" s="1" t="s">
        <v>127</v>
      </c>
      <c r="C111" s="1">
        <v>522.6</v>
      </c>
      <c r="D111" s="1">
        <v>0</v>
      </c>
      <c r="E111" s="1">
        <f t="shared" si="29"/>
        <v>522.6</v>
      </c>
      <c r="F111" s="2">
        <v>7.69</v>
      </c>
      <c r="G111" s="2">
        <f t="shared" si="17"/>
        <v>4018.7940000000003</v>
      </c>
      <c r="H111" s="2">
        <f t="shared" si="18"/>
        <v>24112.764000000003</v>
      </c>
      <c r="I111" s="2">
        <f t="shared" si="27"/>
        <v>7.69</v>
      </c>
      <c r="J111" s="2">
        <f t="shared" si="25"/>
        <v>4018.7940000000003</v>
      </c>
      <c r="K111" s="2">
        <f t="shared" si="19"/>
        <v>24112.764000000003</v>
      </c>
      <c r="L111" s="13">
        <f t="shared" si="20"/>
        <v>48225.528000000006</v>
      </c>
      <c r="M111" s="139">
        <v>-47755</v>
      </c>
      <c r="N111" s="34">
        <f t="shared" si="21"/>
        <v>470.5280000000057</v>
      </c>
      <c r="O111" s="152">
        <v>0</v>
      </c>
      <c r="P111" s="152">
        <v>1343.08</v>
      </c>
      <c r="Q111" s="1">
        <v>0</v>
      </c>
      <c r="R111" s="1">
        <v>1425.77</v>
      </c>
      <c r="S111" s="1">
        <v>0</v>
      </c>
      <c r="T111" s="1">
        <v>1343.08</v>
      </c>
      <c r="U111" s="33">
        <v>0</v>
      </c>
      <c r="V111" s="33">
        <v>1923.08</v>
      </c>
      <c r="W111" s="1">
        <v>0</v>
      </c>
      <c r="X111" s="1">
        <v>1343.08</v>
      </c>
      <c r="Y111" s="1">
        <v>0</v>
      </c>
      <c r="Z111" s="1">
        <v>1343.08</v>
      </c>
      <c r="AA111" s="33">
        <v>0</v>
      </c>
      <c r="AB111" s="33">
        <v>1343.08</v>
      </c>
      <c r="AC111" s="33">
        <v>0</v>
      </c>
      <c r="AD111" s="33">
        <v>1343.08</v>
      </c>
      <c r="AE111" s="33">
        <v>0</v>
      </c>
      <c r="AF111" s="33">
        <v>1343.08</v>
      </c>
      <c r="AG111" s="1">
        <v>0</v>
      </c>
      <c r="AH111" s="1">
        <v>13401.2</v>
      </c>
      <c r="AI111" s="1">
        <v>0</v>
      </c>
      <c r="AJ111" s="1">
        <v>1794.81</v>
      </c>
      <c r="AK111" s="1">
        <v>0</v>
      </c>
      <c r="AL111" s="1">
        <v>1343.08</v>
      </c>
      <c r="AM111" s="9">
        <f t="shared" si="22"/>
        <v>0</v>
      </c>
      <c r="AN111" s="9">
        <f t="shared" si="23"/>
        <v>29289.5</v>
      </c>
      <c r="AO111" s="248">
        <f t="shared" si="24"/>
        <v>29289.5</v>
      </c>
      <c r="AP111" s="10"/>
      <c r="AQ111" s="10"/>
      <c r="AR111" s="10"/>
      <c r="AS111" s="10"/>
      <c r="AT111" s="163">
        <f t="shared" si="26"/>
        <v>29289.5</v>
      </c>
      <c r="AU111" s="2"/>
      <c r="AV111" s="2"/>
      <c r="AW111" s="168"/>
      <c r="AX111" s="21">
        <f t="shared" si="16"/>
        <v>-28818.971999999994</v>
      </c>
      <c r="AY111" s="26">
        <v>234762.91</v>
      </c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</row>
    <row r="112" spans="1:51" ht="15.75" customHeight="1">
      <c r="A112" s="1">
        <v>104</v>
      </c>
      <c r="B112" s="1" t="s">
        <v>128</v>
      </c>
      <c r="C112" s="1">
        <v>510.3</v>
      </c>
      <c r="D112" s="1">
        <v>0</v>
      </c>
      <c r="E112" s="1">
        <f t="shared" si="29"/>
        <v>510.3</v>
      </c>
      <c r="F112" s="2">
        <v>10.19</v>
      </c>
      <c r="G112" s="2">
        <f t="shared" si="17"/>
        <v>5199.956999999999</v>
      </c>
      <c r="H112" s="2">
        <f t="shared" si="18"/>
        <v>31199.742</v>
      </c>
      <c r="I112" s="2">
        <f t="shared" si="27"/>
        <v>10.19</v>
      </c>
      <c r="J112" s="2">
        <f t="shared" si="25"/>
        <v>5199.956999999999</v>
      </c>
      <c r="K112" s="2">
        <f t="shared" si="19"/>
        <v>31199.742</v>
      </c>
      <c r="L112" s="13">
        <f t="shared" si="20"/>
        <v>62399.484</v>
      </c>
      <c r="M112" s="139">
        <v>-124229.91</v>
      </c>
      <c r="N112" s="34">
        <f t="shared" si="21"/>
        <v>-61830.42600000001</v>
      </c>
      <c r="O112" s="152">
        <v>0</v>
      </c>
      <c r="P112" s="152">
        <v>1430.91</v>
      </c>
      <c r="Q112" s="1">
        <v>0</v>
      </c>
      <c r="R112" s="1">
        <v>1348.23</v>
      </c>
      <c r="S112" s="1">
        <v>0</v>
      </c>
      <c r="T112" s="1">
        <v>1265.54</v>
      </c>
      <c r="U112" s="33">
        <v>0</v>
      </c>
      <c r="V112" s="33">
        <v>1845.54</v>
      </c>
      <c r="W112" s="1">
        <v>0</v>
      </c>
      <c r="X112" s="1">
        <v>1265.54</v>
      </c>
      <c r="Y112" s="1">
        <v>0</v>
      </c>
      <c r="Z112" s="1">
        <v>1265.54</v>
      </c>
      <c r="AA112" s="33">
        <v>0</v>
      </c>
      <c r="AB112" s="33">
        <v>1265.54</v>
      </c>
      <c r="AC112" s="33">
        <v>0</v>
      </c>
      <c r="AD112" s="33">
        <v>1265.54</v>
      </c>
      <c r="AE112" s="33">
        <v>0</v>
      </c>
      <c r="AF112" s="33">
        <v>1265.54</v>
      </c>
      <c r="AG112" s="1">
        <v>0</v>
      </c>
      <c r="AH112" s="1">
        <v>1901.2</v>
      </c>
      <c r="AI112" s="1">
        <v>0</v>
      </c>
      <c r="AJ112" s="1">
        <v>1717.27</v>
      </c>
      <c r="AK112" s="1">
        <v>0</v>
      </c>
      <c r="AL112" s="1">
        <v>1265.54</v>
      </c>
      <c r="AM112" s="9">
        <f t="shared" si="22"/>
        <v>0</v>
      </c>
      <c r="AN112" s="9">
        <f t="shared" si="23"/>
        <v>17101.930000000004</v>
      </c>
      <c r="AO112" s="248">
        <f t="shared" si="24"/>
        <v>17101.930000000004</v>
      </c>
      <c r="AP112" s="10"/>
      <c r="AQ112" s="10"/>
      <c r="AR112" s="10"/>
      <c r="AS112" s="10"/>
      <c r="AT112" s="163">
        <f t="shared" si="26"/>
        <v>17101.930000000004</v>
      </c>
      <c r="AU112" s="2"/>
      <c r="AV112" s="2"/>
      <c r="AW112" s="168"/>
      <c r="AX112" s="21">
        <f t="shared" si="16"/>
        <v>-78932.35600000001</v>
      </c>
      <c r="AY112" s="26">
        <f>228502.75+44516.06</f>
        <v>273018.81</v>
      </c>
    </row>
    <row r="113" spans="1:51" ht="15.75" customHeight="1">
      <c r="A113" s="1">
        <v>105</v>
      </c>
      <c r="B113" s="1" t="s">
        <v>129</v>
      </c>
      <c r="C113" s="1">
        <v>617.1</v>
      </c>
      <c r="D113" s="1">
        <v>0</v>
      </c>
      <c r="E113" s="1">
        <f t="shared" si="29"/>
        <v>617.1</v>
      </c>
      <c r="F113" s="2">
        <v>8.44</v>
      </c>
      <c r="G113" s="2">
        <f t="shared" si="17"/>
        <v>5208.324</v>
      </c>
      <c r="H113" s="2">
        <f t="shared" si="18"/>
        <v>31249.943999999996</v>
      </c>
      <c r="I113" s="2">
        <f t="shared" si="27"/>
        <v>8.44</v>
      </c>
      <c r="J113" s="2">
        <f t="shared" si="25"/>
        <v>5208.324</v>
      </c>
      <c r="K113" s="2">
        <f t="shared" si="19"/>
        <v>31249.943999999996</v>
      </c>
      <c r="L113" s="13">
        <f t="shared" si="20"/>
        <v>62499.88799999999</v>
      </c>
      <c r="M113" s="139">
        <v>-442989.1</v>
      </c>
      <c r="N113" s="34">
        <f t="shared" si="21"/>
        <v>-380489.212</v>
      </c>
      <c r="O113" s="152">
        <v>0</v>
      </c>
      <c r="P113" s="152">
        <v>2045.95</v>
      </c>
      <c r="Q113" s="1">
        <v>0</v>
      </c>
      <c r="R113" s="1">
        <v>2211.32</v>
      </c>
      <c r="S113" s="1">
        <v>0</v>
      </c>
      <c r="T113" s="1">
        <v>2045.95</v>
      </c>
      <c r="U113" s="33">
        <v>0</v>
      </c>
      <c r="V113" s="33">
        <v>2708.64</v>
      </c>
      <c r="W113" s="1">
        <v>0</v>
      </c>
      <c r="X113" s="1">
        <v>12542.87</v>
      </c>
      <c r="Y113" s="1">
        <v>0</v>
      </c>
      <c r="Z113" s="1">
        <v>51663.26</v>
      </c>
      <c r="AA113" s="33">
        <v>0</v>
      </c>
      <c r="AB113" s="33">
        <v>38567.21</v>
      </c>
      <c r="AC113" s="33">
        <v>0</v>
      </c>
      <c r="AD113" s="33">
        <v>2897.83</v>
      </c>
      <c r="AE113" s="33">
        <v>0</v>
      </c>
      <c r="AF113" s="33">
        <v>2045.95</v>
      </c>
      <c r="AG113" s="1">
        <v>0</v>
      </c>
      <c r="AH113" s="1">
        <v>68369.33</v>
      </c>
      <c r="AI113" s="1">
        <v>0</v>
      </c>
      <c r="AJ113" s="1">
        <v>2497.68</v>
      </c>
      <c r="AK113" s="1">
        <v>0</v>
      </c>
      <c r="AL113" s="1">
        <v>6853.07</v>
      </c>
      <c r="AM113" s="9">
        <f t="shared" si="22"/>
        <v>0</v>
      </c>
      <c r="AN113" s="9">
        <f t="shared" si="23"/>
        <v>194449.06</v>
      </c>
      <c r="AO113" s="248">
        <f t="shared" si="24"/>
        <v>194449.06</v>
      </c>
      <c r="AP113" s="10"/>
      <c r="AQ113" s="10">
        <v>4470</v>
      </c>
      <c r="AR113" s="10"/>
      <c r="AS113" s="10"/>
      <c r="AT113" s="163">
        <f t="shared" si="26"/>
        <v>198919.06</v>
      </c>
      <c r="AU113" s="2"/>
      <c r="AV113" s="2">
        <f t="shared" si="30"/>
        <v>1678.512</v>
      </c>
      <c r="AW113" s="168">
        <v>4128</v>
      </c>
      <c r="AX113" s="21">
        <f t="shared" si="16"/>
        <v>-573601.76</v>
      </c>
      <c r="AY113" s="26">
        <v>170737.91</v>
      </c>
    </row>
    <row r="114" spans="1:51" ht="15.75" customHeight="1">
      <c r="A114" s="1">
        <v>106</v>
      </c>
      <c r="B114" s="1" t="s">
        <v>130</v>
      </c>
      <c r="C114" s="1">
        <v>391.58</v>
      </c>
      <c r="D114" s="1">
        <v>0</v>
      </c>
      <c r="E114" s="1">
        <f t="shared" si="29"/>
        <v>391.58</v>
      </c>
      <c r="F114" s="2">
        <v>11.14</v>
      </c>
      <c r="G114" s="2">
        <f t="shared" si="17"/>
        <v>4362.2012</v>
      </c>
      <c r="H114" s="2">
        <f t="shared" si="18"/>
        <v>26173.207200000004</v>
      </c>
      <c r="I114" s="2">
        <f t="shared" si="27"/>
        <v>11.14</v>
      </c>
      <c r="J114" s="2">
        <f t="shared" si="25"/>
        <v>4362.2012</v>
      </c>
      <c r="K114" s="2">
        <f t="shared" si="19"/>
        <v>26173.207200000004</v>
      </c>
      <c r="L114" s="13">
        <f t="shared" si="20"/>
        <v>52346.41440000001</v>
      </c>
      <c r="M114" s="139"/>
      <c r="N114" s="34">
        <f t="shared" si="21"/>
        <v>52346.41440000001</v>
      </c>
      <c r="O114" s="152">
        <v>0</v>
      </c>
      <c r="P114" s="152">
        <v>1236.36</v>
      </c>
      <c r="Q114" s="1">
        <v>0</v>
      </c>
      <c r="R114" s="1">
        <v>13455.48</v>
      </c>
      <c r="S114" s="1">
        <v>0</v>
      </c>
      <c r="T114" s="1">
        <v>4145.95</v>
      </c>
      <c r="U114" s="33">
        <v>0</v>
      </c>
      <c r="V114" s="33">
        <v>1816.36</v>
      </c>
      <c r="W114" s="1">
        <v>0</v>
      </c>
      <c r="X114" s="1">
        <v>1236.36</v>
      </c>
      <c r="Y114" s="1">
        <v>0</v>
      </c>
      <c r="Z114" s="1">
        <v>1236.36</v>
      </c>
      <c r="AA114" s="33">
        <v>0</v>
      </c>
      <c r="AB114" s="33">
        <v>7783.57</v>
      </c>
      <c r="AC114" s="33">
        <v>0</v>
      </c>
      <c r="AD114" s="33">
        <v>1236.36</v>
      </c>
      <c r="AE114" s="33">
        <v>0</v>
      </c>
      <c r="AF114" s="33">
        <v>1236.36</v>
      </c>
      <c r="AG114" s="1">
        <v>0</v>
      </c>
      <c r="AH114" s="1">
        <v>2396.77</v>
      </c>
      <c r="AI114" s="1">
        <v>0</v>
      </c>
      <c r="AJ114" s="1">
        <v>8428.56</v>
      </c>
      <c r="AK114" s="1">
        <v>0</v>
      </c>
      <c r="AL114" s="1">
        <v>45504.36</v>
      </c>
      <c r="AM114" s="9">
        <f t="shared" si="22"/>
        <v>0</v>
      </c>
      <c r="AN114" s="9">
        <f t="shared" si="23"/>
        <v>89712.85</v>
      </c>
      <c r="AO114" s="248">
        <f t="shared" si="24"/>
        <v>89712.85</v>
      </c>
      <c r="AP114" s="10"/>
      <c r="AQ114" s="10"/>
      <c r="AR114" s="10">
        <v>199.65</v>
      </c>
      <c r="AS114" s="10"/>
      <c r="AT114" s="163">
        <f t="shared" si="26"/>
        <v>89912.5</v>
      </c>
      <c r="AU114" s="2"/>
      <c r="AV114" s="2">
        <f t="shared" si="30"/>
        <v>1065.0975999999998</v>
      </c>
      <c r="AW114" s="168">
        <v>4128</v>
      </c>
      <c r="AX114" s="21">
        <f t="shared" si="16"/>
        <v>-32372.98799999999</v>
      </c>
      <c r="AY114" s="26">
        <v>157481.83</v>
      </c>
    </row>
    <row r="115" spans="1:51" ht="15.75">
      <c r="A115" s="1">
        <v>107</v>
      </c>
      <c r="B115" s="1" t="s">
        <v>131</v>
      </c>
      <c r="C115" s="1">
        <v>374</v>
      </c>
      <c r="D115" s="1">
        <v>0</v>
      </c>
      <c r="E115" s="1">
        <f t="shared" si="29"/>
        <v>374</v>
      </c>
      <c r="F115" s="2">
        <v>10.59</v>
      </c>
      <c r="G115" s="2">
        <f t="shared" si="17"/>
        <v>3960.66</v>
      </c>
      <c r="H115" s="2">
        <f t="shared" si="18"/>
        <v>23763.96</v>
      </c>
      <c r="I115" s="2">
        <f t="shared" si="27"/>
        <v>10.59</v>
      </c>
      <c r="J115" s="2">
        <f t="shared" si="25"/>
        <v>3960.66</v>
      </c>
      <c r="K115" s="2">
        <f t="shared" si="19"/>
        <v>23763.96</v>
      </c>
      <c r="L115" s="13">
        <f t="shared" si="20"/>
        <v>47527.92</v>
      </c>
      <c r="M115" s="139">
        <v>-52947.11</v>
      </c>
      <c r="N115" s="34">
        <f t="shared" si="21"/>
        <v>-5419.190000000002</v>
      </c>
      <c r="O115" s="152">
        <v>0</v>
      </c>
      <c r="P115" s="152">
        <v>1191.18</v>
      </c>
      <c r="Q115" s="1">
        <v>0</v>
      </c>
      <c r="R115" s="1">
        <v>1191.18</v>
      </c>
      <c r="S115" s="1">
        <v>0</v>
      </c>
      <c r="T115" s="1">
        <v>1191.18</v>
      </c>
      <c r="U115" s="33">
        <v>0</v>
      </c>
      <c r="V115" s="33">
        <v>47723.99</v>
      </c>
      <c r="W115" s="1">
        <v>0</v>
      </c>
      <c r="X115" s="1">
        <v>1191.18</v>
      </c>
      <c r="Y115" s="1">
        <v>0</v>
      </c>
      <c r="Z115" s="1">
        <v>1191.18</v>
      </c>
      <c r="AA115" s="33">
        <v>0</v>
      </c>
      <c r="AB115" s="33">
        <v>2111.68</v>
      </c>
      <c r="AC115" s="33">
        <v>0</v>
      </c>
      <c r="AD115" s="33">
        <v>2008.68</v>
      </c>
      <c r="AE115" s="33">
        <v>0</v>
      </c>
      <c r="AF115" s="33">
        <v>1191.18</v>
      </c>
      <c r="AG115" s="1">
        <v>0</v>
      </c>
      <c r="AH115" s="1">
        <v>2351.59</v>
      </c>
      <c r="AI115" s="1">
        <v>0</v>
      </c>
      <c r="AJ115" s="1">
        <v>6962.75</v>
      </c>
      <c r="AK115" s="1">
        <v>0</v>
      </c>
      <c r="AL115" s="1">
        <v>1191.18</v>
      </c>
      <c r="AM115" s="9">
        <f t="shared" si="22"/>
        <v>0</v>
      </c>
      <c r="AN115" s="9">
        <f t="shared" si="23"/>
        <v>69496.95</v>
      </c>
      <c r="AO115" s="248">
        <f t="shared" si="24"/>
        <v>69496.95</v>
      </c>
      <c r="AP115" s="10"/>
      <c r="AQ115" s="10"/>
      <c r="AR115" s="10"/>
      <c r="AS115" s="10"/>
      <c r="AT115" s="163">
        <f t="shared" si="26"/>
        <v>69496.95</v>
      </c>
      <c r="AU115" s="2"/>
      <c r="AV115" s="2">
        <f t="shared" si="30"/>
        <v>1017.2800000000001</v>
      </c>
      <c r="AW115" s="168"/>
      <c r="AX115" s="21">
        <f t="shared" si="16"/>
        <v>-73898.86</v>
      </c>
      <c r="AY115" s="26">
        <v>67675.88</v>
      </c>
    </row>
    <row r="116" spans="1:51" ht="15.75" customHeight="1">
      <c r="A116" s="1">
        <v>108</v>
      </c>
      <c r="B116" s="1" t="s">
        <v>132</v>
      </c>
      <c r="C116" s="1">
        <v>399.6</v>
      </c>
      <c r="D116" s="1">
        <v>0</v>
      </c>
      <c r="E116" s="1">
        <f t="shared" si="29"/>
        <v>399.6</v>
      </c>
      <c r="F116" s="2">
        <v>8.44</v>
      </c>
      <c r="G116" s="2">
        <f t="shared" si="17"/>
        <v>3372.624</v>
      </c>
      <c r="H116" s="2">
        <f t="shared" si="18"/>
        <v>20235.744</v>
      </c>
      <c r="I116" s="2">
        <f t="shared" si="27"/>
        <v>8.44</v>
      </c>
      <c r="J116" s="2">
        <f t="shared" si="25"/>
        <v>3372.624</v>
      </c>
      <c r="K116" s="2">
        <f t="shared" si="19"/>
        <v>20235.744</v>
      </c>
      <c r="L116" s="13">
        <f t="shared" si="20"/>
        <v>40471.488</v>
      </c>
      <c r="M116" s="139"/>
      <c r="N116" s="34">
        <f t="shared" si="21"/>
        <v>40471.488</v>
      </c>
      <c r="O116" s="152">
        <v>0</v>
      </c>
      <c r="P116" s="152">
        <v>48654.65</v>
      </c>
      <c r="Q116" s="1">
        <v>0</v>
      </c>
      <c r="R116" s="1">
        <v>1109.65</v>
      </c>
      <c r="S116" s="1">
        <v>0</v>
      </c>
      <c r="T116" s="1">
        <v>1109.65</v>
      </c>
      <c r="U116" s="33">
        <v>0</v>
      </c>
      <c r="V116" s="33">
        <v>1606.97</v>
      </c>
      <c r="W116" s="1">
        <v>0</v>
      </c>
      <c r="X116" s="1">
        <v>1026.97</v>
      </c>
      <c r="Y116" s="1">
        <v>0</v>
      </c>
      <c r="Z116" s="1">
        <v>1026.97</v>
      </c>
      <c r="AA116" s="33">
        <v>0</v>
      </c>
      <c r="AB116" s="33">
        <v>1026.97</v>
      </c>
      <c r="AC116" s="33">
        <v>0</v>
      </c>
      <c r="AD116" s="33">
        <v>1026.97</v>
      </c>
      <c r="AE116" s="33">
        <v>0</v>
      </c>
      <c r="AF116" s="33">
        <v>23638.37</v>
      </c>
      <c r="AG116" s="1">
        <v>0</v>
      </c>
      <c r="AH116" s="1">
        <v>2187.38</v>
      </c>
      <c r="AI116" s="1">
        <v>0</v>
      </c>
      <c r="AJ116" s="1">
        <v>1026.97</v>
      </c>
      <c r="AK116" s="1">
        <v>0</v>
      </c>
      <c r="AL116" s="1">
        <v>1026.97</v>
      </c>
      <c r="AM116" s="9">
        <f t="shared" si="22"/>
        <v>0</v>
      </c>
      <c r="AN116" s="9">
        <f t="shared" si="23"/>
        <v>84468.49000000002</v>
      </c>
      <c r="AO116" s="248">
        <f t="shared" si="24"/>
        <v>84468.49000000002</v>
      </c>
      <c r="AP116" s="10"/>
      <c r="AQ116" s="10"/>
      <c r="AR116" s="10"/>
      <c r="AS116" s="10"/>
      <c r="AT116" s="163">
        <f t="shared" si="26"/>
        <v>84468.49000000002</v>
      </c>
      <c r="AU116" s="2"/>
      <c r="AV116" s="2">
        <f t="shared" si="30"/>
        <v>1086.912</v>
      </c>
      <c r="AW116" s="168"/>
      <c r="AX116" s="21">
        <f t="shared" si="16"/>
        <v>-42910.090000000026</v>
      </c>
      <c r="AY116" s="26">
        <v>162938.06</v>
      </c>
    </row>
    <row r="117" spans="1:51" ht="15.75" customHeight="1">
      <c r="A117" s="1">
        <v>109</v>
      </c>
      <c r="B117" s="1" t="s">
        <v>133</v>
      </c>
      <c r="C117" s="1">
        <v>461.9</v>
      </c>
      <c r="D117" s="1">
        <v>0</v>
      </c>
      <c r="E117" s="1">
        <f t="shared" si="29"/>
        <v>461.9</v>
      </c>
      <c r="F117" s="2">
        <v>9.16</v>
      </c>
      <c r="G117" s="2">
        <f t="shared" si="17"/>
        <v>4231.004</v>
      </c>
      <c r="H117" s="2">
        <f t="shared" si="18"/>
        <v>25386.023999999998</v>
      </c>
      <c r="I117" s="2">
        <f t="shared" si="27"/>
        <v>9.16</v>
      </c>
      <c r="J117" s="2">
        <f t="shared" si="25"/>
        <v>4231.004</v>
      </c>
      <c r="K117" s="2">
        <f t="shared" si="19"/>
        <v>25386.023999999998</v>
      </c>
      <c r="L117" s="13">
        <f t="shared" si="20"/>
        <v>50772.047999999995</v>
      </c>
      <c r="M117" s="139"/>
      <c r="N117" s="34">
        <f t="shared" si="21"/>
        <v>50772.047999999995</v>
      </c>
      <c r="O117" s="152">
        <v>0</v>
      </c>
      <c r="P117" s="152">
        <v>1187.08</v>
      </c>
      <c r="Q117" s="1">
        <v>0</v>
      </c>
      <c r="R117" s="1">
        <v>4241.86</v>
      </c>
      <c r="S117" s="1">
        <v>0</v>
      </c>
      <c r="T117" s="1">
        <v>1187.08</v>
      </c>
      <c r="U117" s="33">
        <v>0</v>
      </c>
      <c r="V117" s="33">
        <v>1767.08</v>
      </c>
      <c r="W117" s="1">
        <v>0</v>
      </c>
      <c r="X117" s="1">
        <v>1187.08</v>
      </c>
      <c r="Y117" s="1">
        <v>0</v>
      </c>
      <c r="Z117" s="1">
        <v>36587.08</v>
      </c>
      <c r="AA117" s="33">
        <v>0</v>
      </c>
      <c r="AB117" s="33">
        <v>2181.08</v>
      </c>
      <c r="AC117" s="33">
        <v>0</v>
      </c>
      <c r="AD117" s="33">
        <v>12756.2</v>
      </c>
      <c r="AE117" s="33">
        <v>0</v>
      </c>
      <c r="AF117" s="33">
        <v>5285.41</v>
      </c>
      <c r="AG117" s="1">
        <v>0</v>
      </c>
      <c r="AH117" s="1">
        <v>5547.53</v>
      </c>
      <c r="AI117" s="1">
        <v>0</v>
      </c>
      <c r="AJ117" s="1">
        <v>1187.08</v>
      </c>
      <c r="AK117" s="1">
        <v>0</v>
      </c>
      <c r="AL117" s="1">
        <v>6440.21</v>
      </c>
      <c r="AM117" s="9">
        <f t="shared" si="22"/>
        <v>0</v>
      </c>
      <c r="AN117" s="9">
        <f t="shared" si="23"/>
        <v>79554.77000000002</v>
      </c>
      <c r="AO117" s="248">
        <f t="shared" si="24"/>
        <v>79554.77000000002</v>
      </c>
      <c r="AP117" s="10"/>
      <c r="AQ117" s="10"/>
      <c r="AR117" s="10"/>
      <c r="AS117" s="10"/>
      <c r="AT117" s="163">
        <f t="shared" si="26"/>
        <v>79554.77000000002</v>
      </c>
      <c r="AU117" s="2"/>
      <c r="AV117" s="2"/>
      <c r="AW117" s="168"/>
      <c r="AX117" s="21">
        <f t="shared" si="16"/>
        <v>-28782.722000000023</v>
      </c>
      <c r="AY117" s="26">
        <v>42434.47</v>
      </c>
    </row>
    <row r="118" spans="1:51" ht="15.75" customHeight="1">
      <c r="A118" s="1">
        <v>110</v>
      </c>
      <c r="B118" s="1" t="s">
        <v>134</v>
      </c>
      <c r="C118" s="27">
        <v>401.9</v>
      </c>
      <c r="D118" s="1">
        <v>0</v>
      </c>
      <c r="E118" s="1">
        <f t="shared" si="29"/>
        <v>401.9</v>
      </c>
      <c r="F118" s="2">
        <v>12.28</v>
      </c>
      <c r="G118" s="2">
        <f t="shared" si="17"/>
        <v>4935.331999999999</v>
      </c>
      <c r="H118" s="2">
        <f t="shared" si="18"/>
        <v>29611.992</v>
      </c>
      <c r="I118" s="2">
        <f t="shared" si="27"/>
        <v>12.28</v>
      </c>
      <c r="J118" s="2">
        <f t="shared" si="25"/>
        <v>4935.331999999999</v>
      </c>
      <c r="K118" s="2">
        <f t="shared" si="19"/>
        <v>29611.992</v>
      </c>
      <c r="L118" s="13">
        <f t="shared" si="20"/>
        <v>59223.984</v>
      </c>
      <c r="M118" s="139"/>
      <c r="N118" s="34">
        <f t="shared" si="21"/>
        <v>59223.984</v>
      </c>
      <c r="O118" s="152">
        <v>0</v>
      </c>
      <c r="P118" s="152">
        <v>1262.88</v>
      </c>
      <c r="Q118" s="1">
        <v>0</v>
      </c>
      <c r="R118" s="1">
        <v>1345.56</v>
      </c>
      <c r="S118" s="1">
        <v>0</v>
      </c>
      <c r="T118" s="1">
        <v>1262.88</v>
      </c>
      <c r="U118" s="33">
        <v>0</v>
      </c>
      <c r="V118" s="33">
        <v>4115.34</v>
      </c>
      <c r="W118" s="1">
        <v>0</v>
      </c>
      <c r="X118" s="1">
        <v>1262.88</v>
      </c>
      <c r="Y118" s="1">
        <v>0</v>
      </c>
      <c r="Z118" s="1">
        <v>1262.88</v>
      </c>
      <c r="AA118" s="33">
        <v>0</v>
      </c>
      <c r="AB118" s="33">
        <v>5307.62</v>
      </c>
      <c r="AC118" s="33">
        <v>0</v>
      </c>
      <c r="AD118" s="33">
        <v>1262.88</v>
      </c>
      <c r="AE118" s="33">
        <v>0</v>
      </c>
      <c r="AF118" s="33">
        <v>1262.88</v>
      </c>
      <c r="AG118" s="1">
        <v>0</v>
      </c>
      <c r="AH118" s="1">
        <v>2423.29</v>
      </c>
      <c r="AI118" s="1">
        <v>0</v>
      </c>
      <c r="AJ118" s="1">
        <v>1262.88</v>
      </c>
      <c r="AK118" s="1">
        <v>0</v>
      </c>
      <c r="AL118" s="1">
        <v>1262.88</v>
      </c>
      <c r="AM118" s="9">
        <f t="shared" si="22"/>
        <v>0</v>
      </c>
      <c r="AN118" s="9">
        <f t="shared" si="23"/>
        <v>23294.850000000006</v>
      </c>
      <c r="AO118" s="248">
        <f t="shared" si="24"/>
        <v>23294.850000000006</v>
      </c>
      <c r="AP118" s="10"/>
      <c r="AQ118" s="10"/>
      <c r="AR118" s="12"/>
      <c r="AS118" s="10"/>
      <c r="AT118" s="163">
        <f t="shared" si="26"/>
        <v>23294.850000000006</v>
      </c>
      <c r="AU118" s="2"/>
      <c r="AV118" s="2">
        <f>E118*0.65+(E118*0.69)*3</f>
        <v>1093.1680000000001</v>
      </c>
      <c r="AW118" s="168">
        <v>4128</v>
      </c>
      <c r="AX118" s="21">
        <f t="shared" si="16"/>
        <v>41150.30199999999</v>
      </c>
      <c r="AY118" s="26">
        <f>108994.69+9170.05</f>
        <v>118164.74</v>
      </c>
    </row>
    <row r="119" spans="1:51" ht="15.75" customHeight="1">
      <c r="A119" s="1">
        <v>111</v>
      </c>
      <c r="B119" s="1" t="s">
        <v>135</v>
      </c>
      <c r="C119" s="1">
        <v>461.4</v>
      </c>
      <c r="D119" s="1">
        <v>0</v>
      </c>
      <c r="E119" s="1">
        <f t="shared" si="29"/>
        <v>461.4</v>
      </c>
      <c r="F119" s="2">
        <v>13</v>
      </c>
      <c r="G119" s="2">
        <f t="shared" si="17"/>
        <v>5998.2</v>
      </c>
      <c r="H119" s="2">
        <f t="shared" si="18"/>
        <v>35989.2</v>
      </c>
      <c r="I119" s="2">
        <f t="shared" si="27"/>
        <v>13</v>
      </c>
      <c r="J119" s="2">
        <f t="shared" si="25"/>
        <v>5998.2</v>
      </c>
      <c r="K119" s="2">
        <f t="shared" si="19"/>
        <v>35989.2</v>
      </c>
      <c r="L119" s="13">
        <f t="shared" si="20"/>
        <v>71978.4</v>
      </c>
      <c r="M119" s="139"/>
      <c r="N119" s="34">
        <f t="shared" si="21"/>
        <v>71978.4</v>
      </c>
      <c r="O119" s="152">
        <v>0</v>
      </c>
      <c r="P119" s="152">
        <v>1970.18</v>
      </c>
      <c r="Q119" s="1">
        <v>0</v>
      </c>
      <c r="R119" s="1">
        <v>5024.96</v>
      </c>
      <c r="S119" s="1">
        <v>0</v>
      </c>
      <c r="T119" s="1">
        <v>4231.04</v>
      </c>
      <c r="U119" s="33">
        <v>0</v>
      </c>
      <c r="V119" s="33">
        <v>5382.84</v>
      </c>
      <c r="W119" s="1">
        <v>0</v>
      </c>
      <c r="X119" s="1">
        <v>38043.82</v>
      </c>
      <c r="Y119" s="1">
        <v>0</v>
      </c>
      <c r="Z119" s="1">
        <v>2643.82</v>
      </c>
      <c r="AA119" s="33">
        <v>0</v>
      </c>
      <c r="AB119" s="33">
        <v>3686.82</v>
      </c>
      <c r="AC119" s="33">
        <v>0</v>
      </c>
      <c r="AD119" s="33">
        <v>4740.01</v>
      </c>
      <c r="AE119" s="33">
        <v>0</v>
      </c>
      <c r="AF119" s="33">
        <v>2643.82</v>
      </c>
      <c r="AG119" s="1">
        <v>0</v>
      </c>
      <c r="AH119" s="1">
        <v>4083.59</v>
      </c>
      <c r="AI119" s="1">
        <v>0</v>
      </c>
      <c r="AJ119" s="1">
        <v>1970.18</v>
      </c>
      <c r="AK119" s="1">
        <v>0</v>
      </c>
      <c r="AL119" s="1">
        <v>5023</v>
      </c>
      <c r="AM119" s="9">
        <f t="shared" si="22"/>
        <v>0</v>
      </c>
      <c r="AN119" s="9">
        <f t="shared" si="23"/>
        <v>79444.07999999999</v>
      </c>
      <c r="AO119" s="248">
        <f t="shared" si="24"/>
        <v>79444.07999999999</v>
      </c>
      <c r="AP119" s="10"/>
      <c r="AQ119" s="10"/>
      <c r="AR119" s="10"/>
      <c r="AS119" s="10"/>
      <c r="AT119" s="163">
        <f t="shared" si="26"/>
        <v>79444.07999999999</v>
      </c>
      <c r="AU119" s="2"/>
      <c r="AV119" s="2"/>
      <c r="AW119" s="168"/>
      <c r="AX119" s="21">
        <f t="shared" si="16"/>
        <v>-7465.679999999993</v>
      </c>
      <c r="AY119" s="26">
        <v>113924.17</v>
      </c>
    </row>
    <row r="120" spans="1:51" ht="15.75">
      <c r="A120" s="1">
        <v>112</v>
      </c>
      <c r="B120" s="1" t="s">
        <v>136</v>
      </c>
      <c r="C120" s="1">
        <v>574.3</v>
      </c>
      <c r="D120" s="1">
        <v>0</v>
      </c>
      <c r="E120" s="1">
        <f t="shared" si="29"/>
        <v>574.3</v>
      </c>
      <c r="F120" s="2">
        <v>10.19</v>
      </c>
      <c r="G120" s="2">
        <f t="shared" si="17"/>
        <v>5852.116999999999</v>
      </c>
      <c r="H120" s="2">
        <f t="shared" si="18"/>
        <v>35112.702</v>
      </c>
      <c r="I120" s="2">
        <f t="shared" si="27"/>
        <v>10.19</v>
      </c>
      <c r="J120" s="2">
        <f t="shared" si="25"/>
        <v>5852.116999999999</v>
      </c>
      <c r="K120" s="2">
        <f t="shared" si="19"/>
        <v>35112.702</v>
      </c>
      <c r="L120" s="13">
        <f t="shared" si="20"/>
        <v>70225.404</v>
      </c>
      <c r="M120" s="139">
        <v>-127624.16</v>
      </c>
      <c r="N120" s="34">
        <f t="shared" si="21"/>
        <v>-57398.75600000001</v>
      </c>
      <c r="O120" s="152">
        <v>0</v>
      </c>
      <c r="P120" s="152">
        <v>1475.95</v>
      </c>
      <c r="Q120" s="1">
        <v>0</v>
      </c>
      <c r="R120" s="1">
        <v>1475.95</v>
      </c>
      <c r="S120" s="1">
        <v>0</v>
      </c>
      <c r="T120" s="1">
        <v>1475.95</v>
      </c>
      <c r="U120" s="33">
        <v>0</v>
      </c>
      <c r="V120" s="33">
        <v>2055.95</v>
      </c>
      <c r="W120" s="1">
        <v>0</v>
      </c>
      <c r="X120" s="1">
        <v>1475.95</v>
      </c>
      <c r="Y120" s="1">
        <v>0</v>
      </c>
      <c r="Z120" s="1">
        <v>1475.95</v>
      </c>
      <c r="AA120" s="33">
        <v>0</v>
      </c>
      <c r="AB120" s="33">
        <v>3225.95</v>
      </c>
      <c r="AC120" s="33">
        <v>0</v>
      </c>
      <c r="AD120" s="33">
        <v>1475.95</v>
      </c>
      <c r="AE120" s="33">
        <v>0</v>
      </c>
      <c r="AF120" s="33">
        <v>1475.95</v>
      </c>
      <c r="AG120" s="1">
        <v>0</v>
      </c>
      <c r="AH120" s="1">
        <v>2636.36</v>
      </c>
      <c r="AI120" s="1">
        <v>0</v>
      </c>
      <c r="AJ120" s="1">
        <v>1475.95</v>
      </c>
      <c r="AK120" s="1">
        <v>0</v>
      </c>
      <c r="AL120" s="1">
        <v>1475.95</v>
      </c>
      <c r="AM120" s="9">
        <f t="shared" si="22"/>
        <v>0</v>
      </c>
      <c r="AN120" s="9">
        <f t="shared" si="23"/>
        <v>21201.810000000005</v>
      </c>
      <c r="AO120" s="248">
        <f t="shared" si="24"/>
        <v>21201.810000000005</v>
      </c>
      <c r="AP120" s="10"/>
      <c r="AQ120" s="10"/>
      <c r="AR120" s="10"/>
      <c r="AS120" s="10"/>
      <c r="AT120" s="163">
        <f t="shared" si="26"/>
        <v>21201.810000000005</v>
      </c>
      <c r="AU120" s="2"/>
      <c r="AV120" s="2">
        <f>E120*0.65+(E120*0.69)*3</f>
        <v>1562.096</v>
      </c>
      <c r="AW120" s="168"/>
      <c r="AX120" s="21">
        <f t="shared" si="16"/>
        <v>-77038.47000000002</v>
      </c>
      <c r="AY120" s="26">
        <v>259773.44</v>
      </c>
    </row>
    <row r="121" spans="1:51" ht="15.75">
      <c r="A121" s="1">
        <v>113</v>
      </c>
      <c r="B121" s="1" t="s">
        <v>137</v>
      </c>
      <c r="C121" s="1">
        <v>490</v>
      </c>
      <c r="D121" s="1">
        <v>0</v>
      </c>
      <c r="E121" s="1">
        <f t="shared" si="29"/>
        <v>490</v>
      </c>
      <c r="F121" s="2">
        <v>13</v>
      </c>
      <c r="G121" s="2">
        <f t="shared" si="17"/>
        <v>6370</v>
      </c>
      <c r="H121" s="2">
        <f t="shared" si="18"/>
        <v>38220</v>
      </c>
      <c r="I121" s="2">
        <f t="shared" si="27"/>
        <v>13</v>
      </c>
      <c r="J121" s="2">
        <f t="shared" si="25"/>
        <v>6370</v>
      </c>
      <c r="K121" s="2">
        <f t="shared" si="19"/>
        <v>38220</v>
      </c>
      <c r="L121" s="13">
        <f t="shared" si="20"/>
        <v>76440</v>
      </c>
      <c r="M121" s="139">
        <v>-33628.32</v>
      </c>
      <c r="N121" s="34">
        <f t="shared" si="21"/>
        <v>42811.68</v>
      </c>
      <c r="O121" s="152">
        <v>0</v>
      </c>
      <c r="P121" s="152">
        <v>1489.3</v>
      </c>
      <c r="Q121" s="1">
        <v>0</v>
      </c>
      <c r="R121" s="1">
        <v>1489.3</v>
      </c>
      <c r="S121" s="1">
        <v>0</v>
      </c>
      <c r="T121" s="1">
        <v>1964.4</v>
      </c>
      <c r="U121" s="33">
        <v>0</v>
      </c>
      <c r="V121" s="33">
        <v>2069.3</v>
      </c>
      <c r="W121" s="1">
        <v>0</v>
      </c>
      <c r="X121" s="1">
        <v>11481.27</v>
      </c>
      <c r="Y121" s="1">
        <v>0</v>
      </c>
      <c r="Z121" s="1">
        <v>1489.3</v>
      </c>
      <c r="AA121" s="33">
        <v>0</v>
      </c>
      <c r="AB121" s="33">
        <v>2444.8</v>
      </c>
      <c r="AC121" s="33">
        <v>0</v>
      </c>
      <c r="AD121" s="33">
        <v>3494.98</v>
      </c>
      <c r="AE121" s="33">
        <v>0</v>
      </c>
      <c r="AF121" s="33">
        <v>1489.3</v>
      </c>
      <c r="AG121" s="1">
        <v>0</v>
      </c>
      <c r="AH121" s="1">
        <v>4896.75</v>
      </c>
      <c r="AI121" s="1">
        <v>0</v>
      </c>
      <c r="AJ121" s="1">
        <v>1489.3</v>
      </c>
      <c r="AK121" s="1">
        <v>0</v>
      </c>
      <c r="AL121" s="1">
        <v>2333.49</v>
      </c>
      <c r="AM121" s="9">
        <f t="shared" si="22"/>
        <v>0</v>
      </c>
      <c r="AN121" s="9">
        <f t="shared" si="23"/>
        <v>36131.49</v>
      </c>
      <c r="AO121" s="248">
        <f t="shared" si="24"/>
        <v>36131.49</v>
      </c>
      <c r="AP121" s="10"/>
      <c r="AQ121" s="10">
        <v>40500</v>
      </c>
      <c r="AR121" s="10"/>
      <c r="AS121" s="10"/>
      <c r="AT121" s="163">
        <f t="shared" si="26"/>
        <v>76631.48999999999</v>
      </c>
      <c r="AU121" s="2"/>
      <c r="AV121" s="2"/>
      <c r="AW121" s="168"/>
      <c r="AX121" s="21">
        <f t="shared" si="16"/>
        <v>-33819.80999999999</v>
      </c>
      <c r="AY121" s="26">
        <v>8539.93</v>
      </c>
    </row>
    <row r="122" spans="1:51" ht="15.75">
      <c r="A122" s="1">
        <v>114</v>
      </c>
      <c r="B122" s="1" t="s">
        <v>138</v>
      </c>
      <c r="C122" s="1">
        <v>6179.8</v>
      </c>
      <c r="D122" s="1">
        <v>0</v>
      </c>
      <c r="E122" s="1">
        <f t="shared" si="29"/>
        <v>6179.8</v>
      </c>
      <c r="F122" s="2">
        <v>14.97</v>
      </c>
      <c r="G122" s="2">
        <f t="shared" si="17"/>
        <v>92511.606</v>
      </c>
      <c r="H122" s="2">
        <f t="shared" si="18"/>
        <v>555069.6359999999</v>
      </c>
      <c r="I122" s="2">
        <f t="shared" si="27"/>
        <v>14.97</v>
      </c>
      <c r="J122" s="2">
        <f t="shared" si="25"/>
        <v>92511.606</v>
      </c>
      <c r="K122" s="2">
        <f t="shared" si="19"/>
        <v>555069.6359999999</v>
      </c>
      <c r="L122" s="13">
        <f t="shared" si="20"/>
        <v>1110139.2719999999</v>
      </c>
      <c r="M122" s="139">
        <v>-544472.23</v>
      </c>
      <c r="N122" s="34">
        <f t="shared" si="21"/>
        <v>565667.0419999999</v>
      </c>
      <c r="O122" s="152">
        <v>109213.4</v>
      </c>
      <c r="P122" s="152">
        <v>27035.45</v>
      </c>
      <c r="Q122" s="1">
        <v>32530.76</v>
      </c>
      <c r="R122" s="1">
        <v>36085.54</v>
      </c>
      <c r="S122" s="1">
        <v>32287.26</v>
      </c>
      <c r="T122" s="1">
        <v>21238.24</v>
      </c>
      <c r="U122" s="33">
        <v>74847.5</v>
      </c>
      <c r="V122" s="33">
        <v>56341.48</v>
      </c>
      <c r="W122" s="1">
        <v>34422.06</v>
      </c>
      <c r="X122" s="1">
        <v>27387.25</v>
      </c>
      <c r="Y122" s="1">
        <v>29911.74</v>
      </c>
      <c r="Z122" s="1">
        <v>16572.09</v>
      </c>
      <c r="AA122" s="33">
        <v>59417.22</v>
      </c>
      <c r="AB122" s="33">
        <v>36668.73</v>
      </c>
      <c r="AC122" s="33">
        <v>193699.83</v>
      </c>
      <c r="AD122" s="33">
        <v>66137.13</v>
      </c>
      <c r="AE122" s="33">
        <v>147915.1</v>
      </c>
      <c r="AF122" s="33">
        <v>58888.37</v>
      </c>
      <c r="AG122" s="1">
        <v>49728.03</v>
      </c>
      <c r="AH122" s="1">
        <v>38798.22</v>
      </c>
      <c r="AI122" s="1">
        <v>24272.08</v>
      </c>
      <c r="AJ122" s="1">
        <v>40904.01</v>
      </c>
      <c r="AK122" s="1">
        <v>24062.86</v>
      </c>
      <c r="AL122" s="1">
        <v>16572.09</v>
      </c>
      <c r="AM122" s="9">
        <f t="shared" si="22"/>
        <v>812307.8399999999</v>
      </c>
      <c r="AN122" s="9">
        <f t="shared" si="23"/>
        <v>442628.60000000003</v>
      </c>
      <c r="AO122" s="248">
        <f t="shared" si="24"/>
        <v>1254936.44</v>
      </c>
      <c r="AP122" s="10">
        <v>12359</v>
      </c>
      <c r="AQ122" s="10">
        <f>218276.03+277333.43</f>
        <v>495609.45999999996</v>
      </c>
      <c r="AR122" s="10"/>
      <c r="AS122" s="10"/>
      <c r="AT122" s="163">
        <f t="shared" si="26"/>
        <v>1762904.9</v>
      </c>
      <c r="AU122" s="2"/>
      <c r="AV122" s="2"/>
      <c r="AW122" s="168">
        <v>8256</v>
      </c>
      <c r="AX122" s="21">
        <f t="shared" si="16"/>
        <v>-1188981.858</v>
      </c>
      <c r="AY122" s="26">
        <v>278540.52</v>
      </c>
    </row>
    <row r="123" spans="1:51" ht="15.75">
      <c r="A123" s="1">
        <v>115</v>
      </c>
      <c r="B123" s="101" t="s">
        <v>462</v>
      </c>
      <c r="C123" s="1">
        <v>389.9</v>
      </c>
      <c r="D123" s="1">
        <v>0</v>
      </c>
      <c r="E123" s="1">
        <v>389.9</v>
      </c>
      <c r="F123" s="2">
        <v>10.19</v>
      </c>
      <c r="G123" s="2">
        <f t="shared" si="17"/>
        <v>3973.0809999999997</v>
      </c>
      <c r="H123" s="143">
        <f>G123*3</f>
        <v>11919.242999999999</v>
      </c>
      <c r="I123" s="143">
        <v>0</v>
      </c>
      <c r="J123" s="143">
        <f t="shared" si="25"/>
        <v>0</v>
      </c>
      <c r="K123" s="143">
        <f t="shared" si="19"/>
        <v>0</v>
      </c>
      <c r="L123" s="13">
        <f t="shared" si="20"/>
        <v>11919.242999999999</v>
      </c>
      <c r="M123" s="139">
        <v>-62419.64</v>
      </c>
      <c r="N123" s="34">
        <f t="shared" si="21"/>
        <v>-50500.397</v>
      </c>
      <c r="O123" s="152">
        <v>0</v>
      </c>
      <c r="P123" s="152">
        <v>1002.04</v>
      </c>
      <c r="Q123" s="1">
        <v>0</v>
      </c>
      <c r="R123" s="1">
        <v>1002.04</v>
      </c>
      <c r="S123" s="1">
        <v>0</v>
      </c>
      <c r="T123" s="1">
        <v>1002.04</v>
      </c>
      <c r="U123" s="184">
        <v>0</v>
      </c>
      <c r="V123" s="184">
        <v>0</v>
      </c>
      <c r="W123" s="183">
        <v>0</v>
      </c>
      <c r="X123" s="183">
        <v>0</v>
      </c>
      <c r="Y123" s="183">
        <v>0</v>
      </c>
      <c r="Z123" s="183">
        <v>0</v>
      </c>
      <c r="AA123" s="184">
        <v>0</v>
      </c>
      <c r="AB123" s="184">
        <v>0</v>
      </c>
      <c r="AC123" s="184">
        <v>0</v>
      </c>
      <c r="AD123" s="184">
        <v>0</v>
      </c>
      <c r="AE123" s="184">
        <v>0</v>
      </c>
      <c r="AF123" s="184">
        <v>0</v>
      </c>
      <c r="AG123" s="183">
        <v>0</v>
      </c>
      <c r="AH123" s="183">
        <v>0</v>
      </c>
      <c r="AI123" s="183">
        <v>0</v>
      </c>
      <c r="AJ123" s="183">
        <v>0</v>
      </c>
      <c r="AK123" s="183">
        <v>0</v>
      </c>
      <c r="AL123" s="183">
        <v>0</v>
      </c>
      <c r="AM123" s="9">
        <f t="shared" si="22"/>
        <v>0</v>
      </c>
      <c r="AN123" s="9">
        <f t="shared" si="23"/>
        <v>3006.12</v>
      </c>
      <c r="AO123" s="248">
        <f t="shared" si="24"/>
        <v>3006.12</v>
      </c>
      <c r="AP123" s="10"/>
      <c r="AQ123" s="10"/>
      <c r="AR123" s="10"/>
      <c r="AS123" s="10"/>
      <c r="AT123" s="163">
        <f t="shared" si="26"/>
        <v>3006.12</v>
      </c>
      <c r="AU123" s="2"/>
      <c r="AV123" s="2"/>
      <c r="AW123" s="168"/>
      <c r="AX123" s="21">
        <f t="shared" si="16"/>
        <v>-53506.517</v>
      </c>
      <c r="AY123" s="189">
        <v>283649.56</v>
      </c>
    </row>
    <row r="124" spans="1:78" s="18" customFormat="1" ht="15.75">
      <c r="A124" s="1">
        <v>116</v>
      </c>
      <c r="B124" s="1" t="s">
        <v>139</v>
      </c>
      <c r="C124" s="1">
        <v>405.9</v>
      </c>
      <c r="D124" s="1">
        <v>0</v>
      </c>
      <c r="E124" s="1">
        <f aca="true" t="shared" si="31" ref="E124:E131">C124+D124</f>
        <v>405.9</v>
      </c>
      <c r="F124" s="2">
        <v>12.28</v>
      </c>
      <c r="G124" s="2">
        <f t="shared" si="17"/>
        <v>4984.451999999999</v>
      </c>
      <c r="H124" s="2">
        <f t="shared" si="18"/>
        <v>29906.711999999996</v>
      </c>
      <c r="I124" s="2">
        <f t="shared" si="27"/>
        <v>12.28</v>
      </c>
      <c r="J124" s="2">
        <f t="shared" si="25"/>
        <v>4984.451999999999</v>
      </c>
      <c r="K124" s="2">
        <f t="shared" si="19"/>
        <v>29906.711999999996</v>
      </c>
      <c r="L124" s="13">
        <f t="shared" si="20"/>
        <v>59813.42399999999</v>
      </c>
      <c r="M124" s="139"/>
      <c r="N124" s="34">
        <f t="shared" si="21"/>
        <v>59813.42399999999</v>
      </c>
      <c r="O124" s="152">
        <v>0</v>
      </c>
      <c r="P124" s="152">
        <v>49173.16</v>
      </c>
      <c r="Q124" s="1">
        <v>0</v>
      </c>
      <c r="R124" s="1">
        <v>1125.84</v>
      </c>
      <c r="S124" s="1">
        <v>0</v>
      </c>
      <c r="T124" s="1">
        <v>1043.16</v>
      </c>
      <c r="U124" s="33">
        <v>0</v>
      </c>
      <c r="V124" s="33">
        <v>4006.49</v>
      </c>
      <c r="W124" s="1">
        <v>0</v>
      </c>
      <c r="X124" s="1">
        <v>1043.16</v>
      </c>
      <c r="Y124" s="1">
        <v>0</v>
      </c>
      <c r="Z124" s="1">
        <v>1043.16</v>
      </c>
      <c r="AA124" s="33">
        <v>0</v>
      </c>
      <c r="AB124" s="33">
        <v>4699.4</v>
      </c>
      <c r="AC124" s="33">
        <v>0</v>
      </c>
      <c r="AD124" s="33">
        <v>1313.16</v>
      </c>
      <c r="AE124" s="33">
        <v>0</v>
      </c>
      <c r="AF124" s="33">
        <v>1043.16</v>
      </c>
      <c r="AG124" s="1">
        <v>0</v>
      </c>
      <c r="AH124" s="1">
        <v>2203.57</v>
      </c>
      <c r="AI124" s="1">
        <v>0</v>
      </c>
      <c r="AJ124" s="1">
        <v>1043.16</v>
      </c>
      <c r="AK124" s="1">
        <v>0</v>
      </c>
      <c r="AL124" s="1">
        <v>1043.16</v>
      </c>
      <c r="AM124" s="9">
        <f t="shared" si="22"/>
        <v>0</v>
      </c>
      <c r="AN124" s="9">
        <f t="shared" si="23"/>
        <v>68780.58000000003</v>
      </c>
      <c r="AO124" s="248">
        <f t="shared" si="24"/>
        <v>68780.58000000003</v>
      </c>
      <c r="AP124" s="10"/>
      <c r="AQ124" s="10"/>
      <c r="AR124" s="10"/>
      <c r="AS124" s="10"/>
      <c r="AT124" s="163">
        <f t="shared" si="26"/>
        <v>68780.58000000003</v>
      </c>
      <c r="AU124" s="2"/>
      <c r="AV124" s="2">
        <f>E124*0.65+(E124*0.69)*3</f>
        <v>1104.048</v>
      </c>
      <c r="AW124" s="168">
        <v>4128</v>
      </c>
      <c r="AX124" s="21">
        <f t="shared" si="16"/>
        <v>-3735.1080000000393</v>
      </c>
      <c r="AY124" s="26">
        <v>264342.54</v>
      </c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</row>
    <row r="125" spans="1:51" ht="15.75">
      <c r="A125" s="1">
        <v>117</v>
      </c>
      <c r="B125" s="1" t="s">
        <v>140</v>
      </c>
      <c r="C125" s="1">
        <v>411.1</v>
      </c>
      <c r="D125" s="1">
        <v>0</v>
      </c>
      <c r="E125" s="1">
        <f t="shared" si="31"/>
        <v>411.1</v>
      </c>
      <c r="F125" s="2">
        <v>12.28</v>
      </c>
      <c r="G125" s="2">
        <f t="shared" si="17"/>
        <v>5048.308</v>
      </c>
      <c r="H125" s="2">
        <f t="shared" si="18"/>
        <v>30289.847999999998</v>
      </c>
      <c r="I125" s="2">
        <f t="shared" si="27"/>
        <v>12.28</v>
      </c>
      <c r="J125" s="2">
        <f t="shared" si="25"/>
        <v>5048.308</v>
      </c>
      <c r="K125" s="2">
        <f t="shared" si="19"/>
        <v>30289.847999999998</v>
      </c>
      <c r="L125" s="13">
        <f t="shared" si="20"/>
        <v>60579.695999999996</v>
      </c>
      <c r="M125" s="139">
        <v>-278671.88</v>
      </c>
      <c r="N125" s="34">
        <f t="shared" si="21"/>
        <v>-218092.184</v>
      </c>
      <c r="O125" s="152">
        <v>0</v>
      </c>
      <c r="P125" s="152">
        <v>1056.53</v>
      </c>
      <c r="Q125" s="1">
        <v>0</v>
      </c>
      <c r="R125" s="1">
        <v>1139.21</v>
      </c>
      <c r="S125" s="1">
        <v>0</v>
      </c>
      <c r="T125" s="1">
        <v>1056.53</v>
      </c>
      <c r="U125" s="33">
        <v>0</v>
      </c>
      <c r="V125" s="33">
        <v>8430.7</v>
      </c>
      <c r="W125" s="1">
        <v>0</v>
      </c>
      <c r="X125" s="1">
        <v>4145.42</v>
      </c>
      <c r="Y125" s="1">
        <v>0</v>
      </c>
      <c r="Z125" s="1">
        <v>1056.53</v>
      </c>
      <c r="AA125" s="33">
        <v>0</v>
      </c>
      <c r="AB125" s="33">
        <v>10484.88</v>
      </c>
      <c r="AC125" s="33">
        <v>0</v>
      </c>
      <c r="AD125" s="33">
        <v>1056.53</v>
      </c>
      <c r="AE125" s="33">
        <v>0</v>
      </c>
      <c r="AF125" s="33">
        <v>1056.53</v>
      </c>
      <c r="AG125" s="1">
        <v>0</v>
      </c>
      <c r="AH125" s="1">
        <v>2216.94</v>
      </c>
      <c r="AI125" s="1">
        <v>0</v>
      </c>
      <c r="AJ125" s="1">
        <v>1056.53</v>
      </c>
      <c r="AK125" s="1">
        <v>0</v>
      </c>
      <c r="AL125" s="1">
        <v>1056.53</v>
      </c>
      <c r="AM125" s="9">
        <f t="shared" si="22"/>
        <v>0</v>
      </c>
      <c r="AN125" s="9">
        <f t="shared" si="23"/>
        <v>33812.86</v>
      </c>
      <c r="AO125" s="248">
        <f t="shared" si="24"/>
        <v>33812.86</v>
      </c>
      <c r="AP125" s="10"/>
      <c r="AQ125" s="10">
        <v>7710.98</v>
      </c>
      <c r="AR125" s="10"/>
      <c r="AS125" s="10"/>
      <c r="AT125" s="163">
        <f t="shared" si="26"/>
        <v>41523.84</v>
      </c>
      <c r="AU125" s="2"/>
      <c r="AV125" s="2">
        <f>E125*0.65+(E125*0.69)*3</f>
        <v>1118.192</v>
      </c>
      <c r="AW125" s="168"/>
      <c r="AX125" s="21">
        <f t="shared" si="16"/>
        <v>-258497.832</v>
      </c>
      <c r="AY125" s="26">
        <f>427542.52+20578.53</f>
        <v>448121.05000000005</v>
      </c>
    </row>
    <row r="126" spans="1:51" ht="15.75">
      <c r="A126" s="1">
        <v>118</v>
      </c>
      <c r="B126" s="1" t="s">
        <v>141</v>
      </c>
      <c r="C126" s="1">
        <v>396.8</v>
      </c>
      <c r="D126" s="1">
        <v>0</v>
      </c>
      <c r="E126" s="1">
        <f t="shared" si="31"/>
        <v>396.8</v>
      </c>
      <c r="F126" s="2">
        <v>9.78</v>
      </c>
      <c r="G126" s="2">
        <f t="shared" si="17"/>
        <v>3880.7039999999997</v>
      </c>
      <c r="H126" s="2">
        <f t="shared" si="18"/>
        <v>23284.224</v>
      </c>
      <c r="I126" s="2">
        <f t="shared" si="27"/>
        <v>9.78</v>
      </c>
      <c r="J126" s="2">
        <f t="shared" si="25"/>
        <v>3880.7039999999997</v>
      </c>
      <c r="K126" s="2">
        <f t="shared" si="19"/>
        <v>23284.224</v>
      </c>
      <c r="L126" s="13">
        <f t="shared" si="20"/>
        <v>46568.448</v>
      </c>
      <c r="M126" s="139"/>
      <c r="N126" s="34">
        <f t="shared" si="21"/>
        <v>46568.448</v>
      </c>
      <c r="O126" s="152">
        <v>0</v>
      </c>
      <c r="P126" s="152">
        <v>3091.27</v>
      </c>
      <c r="Q126" s="1">
        <v>0</v>
      </c>
      <c r="R126" s="1">
        <v>1102.46</v>
      </c>
      <c r="S126" s="1">
        <v>0</v>
      </c>
      <c r="T126" s="1">
        <v>6191.68</v>
      </c>
      <c r="U126" s="33">
        <v>0</v>
      </c>
      <c r="V126" s="33">
        <v>6133.09</v>
      </c>
      <c r="W126" s="1">
        <v>0</v>
      </c>
      <c r="X126" s="1">
        <v>1019.78</v>
      </c>
      <c r="Y126" s="1">
        <v>0</v>
      </c>
      <c r="Z126" s="1">
        <v>1019.78</v>
      </c>
      <c r="AA126" s="33">
        <v>0</v>
      </c>
      <c r="AB126" s="33">
        <v>1019.78</v>
      </c>
      <c r="AC126" s="33">
        <v>0</v>
      </c>
      <c r="AD126" s="33">
        <v>1199.78</v>
      </c>
      <c r="AE126" s="33">
        <v>0</v>
      </c>
      <c r="AF126" s="33">
        <v>1019.78</v>
      </c>
      <c r="AG126" s="1">
        <v>0</v>
      </c>
      <c r="AH126" s="1">
        <v>2180.19</v>
      </c>
      <c r="AI126" s="1">
        <v>0</v>
      </c>
      <c r="AJ126" s="1">
        <v>1019.78</v>
      </c>
      <c r="AK126" s="1">
        <v>0</v>
      </c>
      <c r="AL126" s="1">
        <v>2280.94</v>
      </c>
      <c r="AM126" s="9">
        <f t="shared" si="22"/>
        <v>0</v>
      </c>
      <c r="AN126" s="9">
        <f t="shared" si="23"/>
        <v>27278.30999999999</v>
      </c>
      <c r="AO126" s="248">
        <f t="shared" si="24"/>
        <v>27278.30999999999</v>
      </c>
      <c r="AP126" s="10"/>
      <c r="AQ126" s="10"/>
      <c r="AR126" s="10"/>
      <c r="AS126" s="10"/>
      <c r="AT126" s="163">
        <f t="shared" si="26"/>
        <v>27278.30999999999</v>
      </c>
      <c r="AU126" s="2"/>
      <c r="AV126" s="2"/>
      <c r="AW126" s="168">
        <v>4128</v>
      </c>
      <c r="AX126" s="21">
        <f t="shared" si="16"/>
        <v>23418.138000000006</v>
      </c>
      <c r="AY126" s="26">
        <v>177583.7</v>
      </c>
    </row>
    <row r="127" spans="1:51" ht="15.75" customHeight="1">
      <c r="A127" s="1">
        <v>119</v>
      </c>
      <c r="B127" s="1" t="s">
        <v>142</v>
      </c>
      <c r="C127" s="1">
        <v>400.6</v>
      </c>
      <c r="D127" s="1">
        <v>75.1</v>
      </c>
      <c r="E127" s="1">
        <f t="shared" si="31"/>
        <v>475.70000000000005</v>
      </c>
      <c r="F127" s="2">
        <v>9.16</v>
      </c>
      <c r="G127" s="2">
        <f t="shared" si="17"/>
        <v>4357.412</v>
      </c>
      <c r="H127" s="2">
        <f t="shared" si="18"/>
        <v>26144.472</v>
      </c>
      <c r="I127" s="2">
        <f t="shared" si="27"/>
        <v>9.16</v>
      </c>
      <c r="J127" s="2">
        <f t="shared" si="25"/>
        <v>4357.412</v>
      </c>
      <c r="K127" s="2">
        <f t="shared" si="19"/>
        <v>26144.472</v>
      </c>
      <c r="L127" s="13">
        <f t="shared" si="20"/>
        <v>52288.944</v>
      </c>
      <c r="M127" s="139"/>
      <c r="N127" s="34">
        <f t="shared" si="21"/>
        <v>52288.944</v>
      </c>
      <c r="O127" s="152">
        <v>0</v>
      </c>
      <c r="P127" s="152">
        <v>1222.55</v>
      </c>
      <c r="Q127" s="1">
        <v>0</v>
      </c>
      <c r="R127" s="1">
        <v>1222.55</v>
      </c>
      <c r="S127" s="1">
        <v>0</v>
      </c>
      <c r="T127" s="1">
        <v>23944.99</v>
      </c>
      <c r="U127" s="33">
        <v>0</v>
      </c>
      <c r="V127" s="33">
        <v>1802.55</v>
      </c>
      <c r="W127" s="1">
        <v>0</v>
      </c>
      <c r="X127" s="1">
        <v>36622.55</v>
      </c>
      <c r="Y127" s="1">
        <v>0</v>
      </c>
      <c r="Z127" s="1">
        <v>14992.55</v>
      </c>
      <c r="AA127" s="33">
        <v>0</v>
      </c>
      <c r="AB127" s="33">
        <v>2710.87</v>
      </c>
      <c r="AC127" s="33">
        <v>0</v>
      </c>
      <c r="AD127" s="33">
        <v>4563.54</v>
      </c>
      <c r="AE127" s="33">
        <v>0</v>
      </c>
      <c r="AF127" s="33">
        <v>1222.55</v>
      </c>
      <c r="AG127" s="1">
        <v>0</v>
      </c>
      <c r="AH127" s="1">
        <v>2382.96</v>
      </c>
      <c r="AI127" s="1">
        <v>0</v>
      </c>
      <c r="AJ127" s="1">
        <v>1222.55</v>
      </c>
      <c r="AK127" s="1">
        <v>0</v>
      </c>
      <c r="AL127" s="1">
        <v>4671.37</v>
      </c>
      <c r="AM127" s="9">
        <f t="shared" si="22"/>
        <v>0</v>
      </c>
      <c r="AN127" s="9">
        <f t="shared" si="23"/>
        <v>96581.58</v>
      </c>
      <c r="AO127" s="248">
        <f t="shared" si="24"/>
        <v>96581.58</v>
      </c>
      <c r="AP127" s="10"/>
      <c r="AQ127" s="10"/>
      <c r="AR127" s="10"/>
      <c r="AS127" s="10"/>
      <c r="AT127" s="163">
        <f t="shared" si="26"/>
        <v>96581.58</v>
      </c>
      <c r="AU127" s="2"/>
      <c r="AV127" s="2"/>
      <c r="AW127" s="168"/>
      <c r="AX127" s="21">
        <f t="shared" si="16"/>
        <v>-44292.636</v>
      </c>
      <c r="AY127" s="26">
        <v>101668.41</v>
      </c>
    </row>
    <row r="128" spans="1:51" ht="15.75">
      <c r="A128" s="1">
        <v>120</v>
      </c>
      <c r="B128" s="1" t="s">
        <v>143</v>
      </c>
      <c r="C128" s="1">
        <v>404.4</v>
      </c>
      <c r="D128" s="1">
        <v>0</v>
      </c>
      <c r="E128" s="1">
        <f t="shared" si="31"/>
        <v>404.4</v>
      </c>
      <c r="F128" s="2">
        <v>12.28</v>
      </c>
      <c r="G128" s="2">
        <f t="shared" si="17"/>
        <v>4966.031999999999</v>
      </c>
      <c r="H128" s="2">
        <f t="shared" si="18"/>
        <v>29796.191999999995</v>
      </c>
      <c r="I128" s="2">
        <f t="shared" si="27"/>
        <v>12.28</v>
      </c>
      <c r="J128" s="2">
        <f t="shared" si="25"/>
        <v>4966.031999999999</v>
      </c>
      <c r="K128" s="2">
        <f t="shared" si="19"/>
        <v>29796.191999999995</v>
      </c>
      <c r="L128" s="13">
        <f t="shared" si="20"/>
        <v>59592.38399999999</v>
      </c>
      <c r="M128" s="139"/>
      <c r="N128" s="34">
        <f t="shared" si="21"/>
        <v>59592.38399999999</v>
      </c>
      <c r="O128" s="152">
        <v>0</v>
      </c>
      <c r="P128" s="152">
        <v>1726.79</v>
      </c>
      <c r="Q128" s="1">
        <v>0</v>
      </c>
      <c r="R128" s="1">
        <v>1809.47</v>
      </c>
      <c r="S128" s="1">
        <v>0</v>
      </c>
      <c r="T128" s="1">
        <v>1726.79</v>
      </c>
      <c r="U128" s="33">
        <v>0</v>
      </c>
      <c r="V128" s="33">
        <v>4579.25</v>
      </c>
      <c r="W128" s="1">
        <v>0</v>
      </c>
      <c r="X128" s="1">
        <v>2317.21</v>
      </c>
      <c r="Y128" s="1">
        <v>0</v>
      </c>
      <c r="Z128" s="1">
        <v>2317.21</v>
      </c>
      <c r="AA128" s="33">
        <v>0</v>
      </c>
      <c r="AB128" s="33">
        <v>6333.95</v>
      </c>
      <c r="AC128" s="33">
        <v>0</v>
      </c>
      <c r="AD128" s="33">
        <v>2317.21</v>
      </c>
      <c r="AE128" s="33">
        <v>0</v>
      </c>
      <c r="AF128" s="33">
        <v>2317.21</v>
      </c>
      <c r="AG128" s="1">
        <v>0</v>
      </c>
      <c r="AH128" s="1">
        <v>2887.2</v>
      </c>
      <c r="AI128" s="1">
        <v>0</v>
      </c>
      <c r="AJ128" s="1">
        <v>1726.79</v>
      </c>
      <c r="AK128" s="1">
        <v>0</v>
      </c>
      <c r="AL128" s="1">
        <v>1726.79</v>
      </c>
      <c r="AM128" s="9">
        <f t="shared" si="22"/>
        <v>0</v>
      </c>
      <c r="AN128" s="9">
        <f t="shared" si="23"/>
        <v>31785.87</v>
      </c>
      <c r="AO128" s="248">
        <f t="shared" si="24"/>
        <v>31785.87</v>
      </c>
      <c r="AP128" s="10"/>
      <c r="AQ128" s="10"/>
      <c r="AR128" s="10"/>
      <c r="AS128" s="10"/>
      <c r="AT128" s="163">
        <f t="shared" si="26"/>
        <v>31785.87</v>
      </c>
      <c r="AU128" s="2"/>
      <c r="AV128" s="2">
        <f>E128*0.65+(E128*0.69)*3</f>
        <v>1099.9679999999998</v>
      </c>
      <c r="AW128" s="168"/>
      <c r="AX128" s="21">
        <f t="shared" si="16"/>
        <v>28906.481999999993</v>
      </c>
      <c r="AY128" s="26">
        <v>265679.25</v>
      </c>
    </row>
    <row r="129" spans="1:78" s="18" customFormat="1" ht="15.75">
      <c r="A129" s="1">
        <v>121</v>
      </c>
      <c r="B129" s="1" t="s">
        <v>144</v>
      </c>
      <c r="C129" s="1">
        <v>657.6</v>
      </c>
      <c r="D129" s="1">
        <v>0</v>
      </c>
      <c r="E129" s="1">
        <f t="shared" si="31"/>
        <v>657.6</v>
      </c>
      <c r="F129" s="2">
        <v>10.78</v>
      </c>
      <c r="G129" s="2">
        <f t="shared" si="17"/>
        <v>7088.928</v>
      </c>
      <c r="H129" s="2">
        <f t="shared" si="18"/>
        <v>42533.568</v>
      </c>
      <c r="I129" s="2">
        <f t="shared" si="27"/>
        <v>10.78</v>
      </c>
      <c r="J129" s="2">
        <f t="shared" si="25"/>
        <v>7088.928</v>
      </c>
      <c r="K129" s="2">
        <f t="shared" si="19"/>
        <v>42533.568</v>
      </c>
      <c r="L129" s="13">
        <f t="shared" si="20"/>
        <v>85067.136</v>
      </c>
      <c r="M129" s="139"/>
      <c r="N129" s="34">
        <f t="shared" si="21"/>
        <v>85067.136</v>
      </c>
      <c r="O129" s="152">
        <v>0</v>
      </c>
      <c r="P129" s="152">
        <v>1920.03</v>
      </c>
      <c r="Q129" s="1">
        <v>0</v>
      </c>
      <c r="R129" s="1">
        <v>1920.03</v>
      </c>
      <c r="S129" s="1">
        <v>0</v>
      </c>
      <c r="T129" s="1">
        <v>1920.03</v>
      </c>
      <c r="U129" s="33">
        <v>0</v>
      </c>
      <c r="V129" s="33">
        <v>2500.03</v>
      </c>
      <c r="W129" s="1">
        <v>0</v>
      </c>
      <c r="X129" s="1">
        <v>4133.03</v>
      </c>
      <c r="Y129" s="1">
        <v>0</v>
      </c>
      <c r="Z129" s="1">
        <v>4133.03</v>
      </c>
      <c r="AA129" s="33">
        <v>60240</v>
      </c>
      <c r="AB129" s="33">
        <v>4133.03</v>
      </c>
      <c r="AC129" s="33">
        <v>0</v>
      </c>
      <c r="AD129" s="33">
        <v>1920.03</v>
      </c>
      <c r="AE129" s="33">
        <v>0</v>
      </c>
      <c r="AF129" s="33">
        <v>1920.03</v>
      </c>
      <c r="AG129" s="1">
        <v>0</v>
      </c>
      <c r="AH129" s="1">
        <v>3080.44</v>
      </c>
      <c r="AI129" s="1">
        <v>0</v>
      </c>
      <c r="AJ129" s="1">
        <v>1920.03</v>
      </c>
      <c r="AK129" s="1">
        <v>0</v>
      </c>
      <c r="AL129" s="1">
        <v>1920.03</v>
      </c>
      <c r="AM129" s="9">
        <f t="shared" si="22"/>
        <v>60240</v>
      </c>
      <c r="AN129" s="9">
        <f t="shared" si="23"/>
        <v>31419.769999999993</v>
      </c>
      <c r="AO129" s="248">
        <f t="shared" si="24"/>
        <v>91659.76999999999</v>
      </c>
      <c r="AP129" s="10"/>
      <c r="AQ129" s="10"/>
      <c r="AR129" s="10"/>
      <c r="AS129" s="10"/>
      <c r="AT129" s="163">
        <f t="shared" si="26"/>
        <v>91659.76999999999</v>
      </c>
      <c r="AU129" s="2"/>
      <c r="AV129" s="2"/>
      <c r="AW129" s="168">
        <v>4128</v>
      </c>
      <c r="AX129" s="21">
        <f aca="true" t="shared" si="32" ref="AX129:AX192">N129-AT129+AU129+AV129+AW129</f>
        <v>-2464.633999999991</v>
      </c>
      <c r="AY129" s="26">
        <v>66606.26</v>
      </c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</row>
    <row r="130" spans="1:51" ht="15.75">
      <c r="A130" s="1">
        <v>122</v>
      </c>
      <c r="B130" s="1" t="s">
        <v>145</v>
      </c>
      <c r="C130" s="1">
        <v>655.8</v>
      </c>
      <c r="D130" s="1">
        <v>0</v>
      </c>
      <c r="E130" s="1">
        <f t="shared" si="31"/>
        <v>655.8</v>
      </c>
      <c r="F130" s="2">
        <v>15.02</v>
      </c>
      <c r="G130" s="2">
        <f t="shared" si="17"/>
        <v>9850.115999999998</v>
      </c>
      <c r="H130" s="2">
        <f t="shared" si="18"/>
        <v>59100.69599999999</v>
      </c>
      <c r="I130" s="2">
        <f t="shared" si="27"/>
        <v>15.02</v>
      </c>
      <c r="J130" s="2">
        <f t="shared" si="25"/>
        <v>9850.115999999998</v>
      </c>
      <c r="K130" s="2">
        <f t="shared" si="19"/>
        <v>59100.69599999999</v>
      </c>
      <c r="L130" s="13">
        <f t="shared" si="20"/>
        <v>118201.39199999998</v>
      </c>
      <c r="M130" s="139"/>
      <c r="N130" s="34">
        <f t="shared" si="21"/>
        <v>118201.39199999998</v>
      </c>
      <c r="O130" s="152">
        <v>1206.67</v>
      </c>
      <c r="P130" s="152">
        <v>1915.41</v>
      </c>
      <c r="Q130" s="1">
        <v>1206.67</v>
      </c>
      <c r="R130" s="1">
        <v>1915.41</v>
      </c>
      <c r="S130" s="1">
        <v>1206.67</v>
      </c>
      <c r="T130" s="1">
        <v>1915.41</v>
      </c>
      <c r="U130" s="33">
        <v>1206.67</v>
      </c>
      <c r="V130" s="33">
        <v>3075.41</v>
      </c>
      <c r="W130" s="1">
        <v>51170.74</v>
      </c>
      <c r="X130" s="1">
        <v>3573.83</v>
      </c>
      <c r="Y130" s="1">
        <v>2570.74</v>
      </c>
      <c r="Z130" s="1">
        <v>22075.47</v>
      </c>
      <c r="AA130" s="33">
        <v>4474.74</v>
      </c>
      <c r="AB130" s="33">
        <v>10145.42</v>
      </c>
      <c r="AC130" s="33">
        <v>3024.29</v>
      </c>
      <c r="AD130" s="33">
        <v>1915.41</v>
      </c>
      <c r="AE130" s="33">
        <v>2570.74</v>
      </c>
      <c r="AF130" s="33">
        <v>6419.14</v>
      </c>
      <c r="AG130" s="1">
        <v>1206.67</v>
      </c>
      <c r="AH130" s="1">
        <v>3075.82</v>
      </c>
      <c r="AI130" s="1">
        <v>1206.67</v>
      </c>
      <c r="AJ130" s="1">
        <v>1915.41</v>
      </c>
      <c r="AK130" s="1">
        <v>1512.57</v>
      </c>
      <c r="AL130" s="1">
        <v>1915.41</v>
      </c>
      <c r="AM130" s="9">
        <f t="shared" si="22"/>
        <v>72563.84</v>
      </c>
      <c r="AN130" s="9">
        <f t="shared" si="23"/>
        <v>59857.55000000001</v>
      </c>
      <c r="AO130" s="248">
        <f t="shared" si="24"/>
        <v>132421.39</v>
      </c>
      <c r="AP130" s="10"/>
      <c r="AQ130" s="10"/>
      <c r="AR130" s="10"/>
      <c r="AS130" s="10"/>
      <c r="AT130" s="163">
        <f t="shared" si="26"/>
        <v>132421.39</v>
      </c>
      <c r="AU130" s="2"/>
      <c r="AV130" s="2"/>
      <c r="AW130" s="168"/>
      <c r="AX130" s="21">
        <f t="shared" si="32"/>
        <v>-14219.998000000036</v>
      </c>
      <c r="AY130" s="26">
        <v>53473.35</v>
      </c>
    </row>
    <row r="131" spans="1:51" ht="15.75" customHeight="1">
      <c r="A131" s="1">
        <v>123</v>
      </c>
      <c r="B131" s="1" t="s">
        <v>146</v>
      </c>
      <c r="C131" s="1">
        <v>2003.8</v>
      </c>
      <c r="D131" s="1">
        <v>0</v>
      </c>
      <c r="E131" s="1">
        <f t="shared" si="31"/>
        <v>2003.8</v>
      </c>
      <c r="F131" s="2">
        <v>12.12</v>
      </c>
      <c r="G131" s="2">
        <f aca="true" t="shared" si="33" ref="G131:G169">E131*F131</f>
        <v>24286.055999999997</v>
      </c>
      <c r="H131" s="2">
        <f t="shared" si="18"/>
        <v>145716.33599999998</v>
      </c>
      <c r="I131" s="2">
        <f t="shared" si="27"/>
        <v>12.12</v>
      </c>
      <c r="J131" s="2">
        <f t="shared" si="25"/>
        <v>24286.055999999997</v>
      </c>
      <c r="K131" s="2">
        <f t="shared" si="19"/>
        <v>145716.33599999998</v>
      </c>
      <c r="L131" s="13">
        <f t="shared" si="20"/>
        <v>291432.67199999996</v>
      </c>
      <c r="M131" s="139"/>
      <c r="N131" s="34">
        <f t="shared" si="21"/>
        <v>291432.67199999996</v>
      </c>
      <c r="O131" s="152">
        <v>0</v>
      </c>
      <c r="P131" s="152">
        <v>5379.77</v>
      </c>
      <c r="Q131" s="1">
        <v>1576.28</v>
      </c>
      <c r="R131" s="1">
        <v>10611.45</v>
      </c>
      <c r="S131" s="1">
        <v>618.75</v>
      </c>
      <c r="T131" s="1">
        <v>5379.77</v>
      </c>
      <c r="U131" s="33">
        <v>1285.71</v>
      </c>
      <c r="V131" s="33">
        <v>10965.77</v>
      </c>
      <c r="W131" s="1">
        <v>67924.11</v>
      </c>
      <c r="X131" s="1">
        <v>18181.09</v>
      </c>
      <c r="Y131" s="1">
        <v>119985.97</v>
      </c>
      <c r="Z131" s="1">
        <v>23585.1</v>
      </c>
      <c r="AA131" s="33">
        <v>69511.17</v>
      </c>
      <c r="AB131" s="33">
        <v>42713.53</v>
      </c>
      <c r="AC131" s="33">
        <v>14348.52</v>
      </c>
      <c r="AD131" s="33">
        <v>106138.64</v>
      </c>
      <c r="AE131" s="33">
        <v>0</v>
      </c>
      <c r="AF131" s="33">
        <v>5379.77</v>
      </c>
      <c r="AG131" s="1">
        <v>3382.5</v>
      </c>
      <c r="AH131" s="1">
        <v>10730.98</v>
      </c>
      <c r="AI131" s="1">
        <v>0</v>
      </c>
      <c r="AJ131" s="1">
        <v>7119.99</v>
      </c>
      <c r="AK131" s="1">
        <v>917.7</v>
      </c>
      <c r="AL131" s="1">
        <v>8465.01</v>
      </c>
      <c r="AM131" s="9">
        <f t="shared" si="22"/>
        <v>279550.71</v>
      </c>
      <c r="AN131" s="9">
        <f t="shared" si="23"/>
        <v>254650.87</v>
      </c>
      <c r="AO131" s="248">
        <f t="shared" si="24"/>
        <v>534201.5800000001</v>
      </c>
      <c r="AP131" s="10"/>
      <c r="AQ131" s="10"/>
      <c r="AR131" s="10"/>
      <c r="AS131" s="10"/>
      <c r="AT131" s="163">
        <f t="shared" si="26"/>
        <v>534201.5800000001</v>
      </c>
      <c r="AU131" s="2"/>
      <c r="AV131" s="2"/>
      <c r="AW131" s="168">
        <v>4128</v>
      </c>
      <c r="AX131" s="21">
        <f t="shared" si="32"/>
        <v>-238640.9080000001</v>
      </c>
      <c r="AY131" s="26">
        <v>135363.28</v>
      </c>
    </row>
    <row r="132" spans="1:51" ht="15.75">
      <c r="A132" s="1">
        <v>124</v>
      </c>
      <c r="B132" s="101" t="s">
        <v>463</v>
      </c>
      <c r="C132" s="1">
        <v>521.5</v>
      </c>
      <c r="D132" s="1">
        <v>0</v>
      </c>
      <c r="E132" s="1">
        <v>521.5</v>
      </c>
      <c r="F132" s="2">
        <v>9.38</v>
      </c>
      <c r="G132" s="2">
        <f t="shared" si="33"/>
        <v>4891.67</v>
      </c>
      <c r="H132" s="143">
        <f>G132*4</f>
        <v>19566.68</v>
      </c>
      <c r="I132" s="143">
        <v>0</v>
      </c>
      <c r="J132" s="143">
        <f t="shared" si="25"/>
        <v>0</v>
      </c>
      <c r="K132" s="143">
        <f aca="true" t="shared" si="34" ref="K132:K192">J132*6</f>
        <v>0</v>
      </c>
      <c r="L132" s="13">
        <f t="shared" si="20"/>
        <v>19566.68</v>
      </c>
      <c r="M132" s="139"/>
      <c r="N132" s="34">
        <f aca="true" t="shared" si="35" ref="N132:N193">L132+M132</f>
        <v>19566.68</v>
      </c>
      <c r="O132" s="152">
        <v>0</v>
      </c>
      <c r="P132" s="152">
        <v>1570.26</v>
      </c>
      <c r="Q132" s="1">
        <v>1136.23</v>
      </c>
      <c r="R132" s="1">
        <v>1570.26</v>
      </c>
      <c r="S132" s="1">
        <v>0</v>
      </c>
      <c r="T132" s="1">
        <v>1570.26</v>
      </c>
      <c r="U132" s="33">
        <v>0</v>
      </c>
      <c r="V132" s="33">
        <v>1570.26</v>
      </c>
      <c r="W132" s="183">
        <v>0</v>
      </c>
      <c r="X132" s="183">
        <v>0</v>
      </c>
      <c r="Y132" s="183">
        <v>0</v>
      </c>
      <c r="Z132" s="183">
        <v>0</v>
      </c>
      <c r="AA132" s="184">
        <v>0</v>
      </c>
      <c r="AB132" s="184">
        <v>0</v>
      </c>
      <c r="AC132" s="184">
        <v>0</v>
      </c>
      <c r="AD132" s="184">
        <v>0</v>
      </c>
      <c r="AE132" s="184">
        <v>0</v>
      </c>
      <c r="AF132" s="184">
        <v>0</v>
      </c>
      <c r="AG132" s="183">
        <v>0</v>
      </c>
      <c r="AH132" s="183">
        <v>0</v>
      </c>
      <c r="AI132" s="183">
        <v>0</v>
      </c>
      <c r="AJ132" s="183">
        <v>0</v>
      </c>
      <c r="AK132" s="183">
        <v>0</v>
      </c>
      <c r="AL132" s="183">
        <v>0</v>
      </c>
      <c r="AM132" s="9">
        <f aca="true" t="shared" si="36" ref="AM132:AM192">O132+Q132+S132+U132+W132+Y132+AA132+AC132+AE132+AG132+AI132+AK132</f>
        <v>1136.23</v>
      </c>
      <c r="AN132" s="9">
        <f aca="true" t="shared" si="37" ref="AN132:AN192">P132+R132+T132+V132+X132+Z132+AB132+AD132+AF132+AH132+AJ132+AL132</f>
        <v>6281.04</v>
      </c>
      <c r="AO132" s="248">
        <f aca="true" t="shared" si="38" ref="AO132:AO192">AM132+AN132</f>
        <v>7417.27</v>
      </c>
      <c r="AP132" s="10"/>
      <c r="AQ132" s="10"/>
      <c r="AR132" s="10"/>
      <c r="AS132" s="10"/>
      <c r="AT132" s="163">
        <f t="shared" si="26"/>
        <v>7417.27</v>
      </c>
      <c r="AU132" s="2"/>
      <c r="AV132" s="2"/>
      <c r="AW132" s="168"/>
      <c r="AX132" s="21">
        <f t="shared" si="32"/>
        <v>12149.41</v>
      </c>
      <c r="AY132" s="189">
        <v>394165.56</v>
      </c>
    </row>
    <row r="133" spans="1:51" ht="15.75" customHeight="1">
      <c r="A133" s="1">
        <v>125</v>
      </c>
      <c r="B133" s="1" t="s">
        <v>147</v>
      </c>
      <c r="C133" s="1">
        <v>502.3</v>
      </c>
      <c r="D133" s="1">
        <v>0</v>
      </c>
      <c r="E133" s="1">
        <f>C133+D133</f>
        <v>502.3</v>
      </c>
      <c r="F133" s="2">
        <v>9.38</v>
      </c>
      <c r="G133" s="2">
        <f t="shared" si="33"/>
        <v>4711.5740000000005</v>
      </c>
      <c r="H133" s="2">
        <f aca="true" t="shared" si="39" ref="H133:H192">G133*6</f>
        <v>28269.444000000003</v>
      </c>
      <c r="I133" s="2">
        <f t="shared" si="27"/>
        <v>9.38</v>
      </c>
      <c r="J133" s="2">
        <f t="shared" si="25"/>
        <v>4711.5740000000005</v>
      </c>
      <c r="K133" s="2">
        <f t="shared" si="34"/>
        <v>28269.444000000003</v>
      </c>
      <c r="L133" s="13">
        <f aca="true" t="shared" si="40" ref="L133:L193">H133+K133</f>
        <v>56538.888000000006</v>
      </c>
      <c r="M133" s="139">
        <v>-7028.24</v>
      </c>
      <c r="N133" s="34">
        <f t="shared" si="35"/>
        <v>49510.64800000001</v>
      </c>
      <c r="O133" s="152">
        <v>0</v>
      </c>
      <c r="P133" s="152">
        <v>1290.91</v>
      </c>
      <c r="Q133" s="1">
        <v>1136.23</v>
      </c>
      <c r="R133" s="1">
        <v>1290.91</v>
      </c>
      <c r="S133" s="1">
        <v>0</v>
      </c>
      <c r="T133" s="1">
        <v>1290.91</v>
      </c>
      <c r="U133" s="33">
        <v>0</v>
      </c>
      <c r="V133" s="33">
        <v>1870.91</v>
      </c>
      <c r="W133" s="1">
        <v>0</v>
      </c>
      <c r="X133" s="1">
        <v>1290.91</v>
      </c>
      <c r="Y133" s="1">
        <v>0</v>
      </c>
      <c r="Z133" s="1">
        <v>1290.91</v>
      </c>
      <c r="AA133" s="33">
        <v>0</v>
      </c>
      <c r="AB133" s="33">
        <v>1290.91</v>
      </c>
      <c r="AC133" s="33">
        <v>0</v>
      </c>
      <c r="AD133" s="33">
        <v>1290.91</v>
      </c>
      <c r="AE133" s="33">
        <v>2444.86</v>
      </c>
      <c r="AF133" s="33">
        <v>1290.91</v>
      </c>
      <c r="AG133" s="1">
        <v>0</v>
      </c>
      <c r="AH133" s="1">
        <v>1926.57</v>
      </c>
      <c r="AI133" s="1">
        <v>0</v>
      </c>
      <c r="AJ133" s="1">
        <v>1290.91</v>
      </c>
      <c r="AK133" s="1">
        <v>0</v>
      </c>
      <c r="AL133" s="1">
        <v>1290.91</v>
      </c>
      <c r="AM133" s="9">
        <f t="shared" si="36"/>
        <v>3581.09</v>
      </c>
      <c r="AN133" s="9">
        <f t="shared" si="37"/>
        <v>16706.58</v>
      </c>
      <c r="AO133" s="248">
        <f t="shared" si="38"/>
        <v>20287.670000000002</v>
      </c>
      <c r="AP133" s="10"/>
      <c r="AQ133" s="10"/>
      <c r="AR133" s="10"/>
      <c r="AS133" s="10"/>
      <c r="AT133" s="163">
        <f t="shared" si="26"/>
        <v>20287.670000000002</v>
      </c>
      <c r="AU133" s="2"/>
      <c r="AV133" s="2"/>
      <c r="AW133" s="168"/>
      <c r="AX133" s="21">
        <f t="shared" si="32"/>
        <v>29222.978000000006</v>
      </c>
      <c r="AY133" s="26">
        <f>20798.4+36405.58</f>
        <v>57203.98</v>
      </c>
    </row>
    <row r="134" spans="1:51" ht="15.75" customHeight="1">
      <c r="A134" s="1">
        <v>126</v>
      </c>
      <c r="B134" s="1" t="s">
        <v>148</v>
      </c>
      <c r="C134" s="1">
        <v>3300.1</v>
      </c>
      <c r="D134" s="1">
        <v>342</v>
      </c>
      <c r="E134" s="1">
        <f>C134+D134</f>
        <v>3642.1</v>
      </c>
      <c r="F134" s="2">
        <v>13.92</v>
      </c>
      <c r="G134" s="2">
        <f t="shared" si="33"/>
        <v>50698.032</v>
      </c>
      <c r="H134" s="2">
        <f t="shared" si="39"/>
        <v>304188.192</v>
      </c>
      <c r="I134" s="2">
        <f t="shared" si="27"/>
        <v>13.92</v>
      </c>
      <c r="J134" s="2">
        <f aca="true" t="shared" si="41" ref="J134:J194">E134*I134</f>
        <v>50698.032</v>
      </c>
      <c r="K134" s="2">
        <f t="shared" si="34"/>
        <v>304188.192</v>
      </c>
      <c r="L134" s="13">
        <f t="shared" si="40"/>
        <v>608376.384</v>
      </c>
      <c r="M134" s="139">
        <v>-148150.27</v>
      </c>
      <c r="N134" s="34">
        <f t="shared" si="35"/>
        <v>460226.11399999994</v>
      </c>
      <c r="O134" s="152">
        <v>17646.75</v>
      </c>
      <c r="P134" s="152">
        <v>10521.67</v>
      </c>
      <c r="Q134" s="1">
        <v>12846.3</v>
      </c>
      <c r="R134" s="1">
        <v>18246.07</v>
      </c>
      <c r="S134" s="1">
        <v>75576.25</v>
      </c>
      <c r="T134" s="1">
        <v>12215.66</v>
      </c>
      <c r="U134" s="33">
        <v>12284.11</v>
      </c>
      <c r="V134" s="33">
        <v>10980.2</v>
      </c>
      <c r="W134" s="1">
        <v>11509.04</v>
      </c>
      <c r="X134" s="1">
        <v>12448.94</v>
      </c>
      <c r="Y134" s="1">
        <v>83071.35</v>
      </c>
      <c r="Z134" s="1">
        <v>34556.42</v>
      </c>
      <c r="AA134" s="33">
        <v>18215.96</v>
      </c>
      <c r="AB134" s="33">
        <v>32462.98</v>
      </c>
      <c r="AC134" s="33">
        <v>20118.44</v>
      </c>
      <c r="AD134" s="33">
        <v>33534.93</v>
      </c>
      <c r="AE134" s="33">
        <v>31983.55</v>
      </c>
      <c r="AF134" s="33">
        <v>9820.2</v>
      </c>
      <c r="AG134" s="1">
        <v>18106.28</v>
      </c>
      <c r="AH134" s="1">
        <v>10980.61</v>
      </c>
      <c r="AI134" s="1">
        <v>17269.88</v>
      </c>
      <c r="AJ134" s="1">
        <v>22253.34</v>
      </c>
      <c r="AK134" s="1">
        <v>28666.26</v>
      </c>
      <c r="AL134" s="1">
        <v>9820.2</v>
      </c>
      <c r="AM134" s="9">
        <f t="shared" si="36"/>
        <v>347294.17000000004</v>
      </c>
      <c r="AN134" s="9">
        <f t="shared" si="37"/>
        <v>217841.22</v>
      </c>
      <c r="AO134" s="248">
        <f t="shared" si="38"/>
        <v>565135.39</v>
      </c>
      <c r="AP134" s="10"/>
      <c r="AQ134" s="10">
        <f>(106178.94-37243.76)</f>
        <v>68935.18</v>
      </c>
      <c r="AR134" s="10"/>
      <c r="AS134" s="10"/>
      <c r="AT134" s="163">
        <f t="shared" si="26"/>
        <v>634070.5700000001</v>
      </c>
      <c r="AU134" s="2"/>
      <c r="AV134" s="2"/>
      <c r="AW134" s="168">
        <v>4128</v>
      </c>
      <c r="AX134" s="21">
        <f t="shared" si="32"/>
        <v>-169716.45600000012</v>
      </c>
      <c r="AY134" s="26">
        <v>109268.52</v>
      </c>
    </row>
    <row r="135" spans="1:51" s="7" customFormat="1" ht="15.75" customHeight="1">
      <c r="A135" s="1">
        <v>127</v>
      </c>
      <c r="B135" s="1" t="s">
        <v>448</v>
      </c>
      <c r="C135" s="1">
        <v>4948.1</v>
      </c>
      <c r="D135" s="1">
        <v>0</v>
      </c>
      <c r="E135" s="1">
        <f>C135+D135</f>
        <v>4948.1</v>
      </c>
      <c r="F135" s="2">
        <v>13.92</v>
      </c>
      <c r="G135" s="2">
        <f>E135*F135</f>
        <v>68877.55200000001</v>
      </c>
      <c r="H135" s="2">
        <f t="shared" si="39"/>
        <v>413265.31200000003</v>
      </c>
      <c r="I135" s="2">
        <f t="shared" si="27"/>
        <v>13.92</v>
      </c>
      <c r="J135" s="2">
        <f t="shared" si="41"/>
        <v>68877.55200000001</v>
      </c>
      <c r="K135" s="2">
        <f t="shared" si="34"/>
        <v>413265.31200000003</v>
      </c>
      <c r="L135" s="13">
        <f t="shared" si="40"/>
        <v>826530.6240000001</v>
      </c>
      <c r="M135" s="139"/>
      <c r="N135" s="34">
        <f>L135+M135</f>
        <v>826530.6240000001</v>
      </c>
      <c r="O135" s="152"/>
      <c r="P135" s="152">
        <v>27979.98</v>
      </c>
      <c r="Q135" s="1">
        <v>0</v>
      </c>
      <c r="R135" s="1">
        <v>21128.39</v>
      </c>
      <c r="S135" s="1">
        <v>0</v>
      </c>
      <c r="T135" s="1">
        <v>41008.9</v>
      </c>
      <c r="U135" s="152">
        <v>0</v>
      </c>
      <c r="V135" s="152">
        <v>24556.15</v>
      </c>
      <c r="W135" s="1">
        <v>0</v>
      </c>
      <c r="X135" s="1">
        <v>30620.37</v>
      </c>
      <c r="Y135" s="1">
        <v>0</v>
      </c>
      <c r="Z135" s="1">
        <v>52158.29</v>
      </c>
      <c r="AA135" s="152">
        <v>0</v>
      </c>
      <c r="AB135" s="152">
        <v>32888.11</v>
      </c>
      <c r="AC135" s="152">
        <v>0</v>
      </c>
      <c r="AD135" s="152">
        <v>30047.45</v>
      </c>
      <c r="AE135" s="152">
        <v>0</v>
      </c>
      <c r="AF135" s="152">
        <v>28352.61</v>
      </c>
      <c r="AG135" s="1">
        <v>0</v>
      </c>
      <c r="AH135" s="1">
        <v>33016.76</v>
      </c>
      <c r="AI135" s="1">
        <v>0</v>
      </c>
      <c r="AJ135" s="1">
        <v>26421.36</v>
      </c>
      <c r="AK135" s="1">
        <v>0</v>
      </c>
      <c r="AL135" s="1">
        <v>43368.27</v>
      </c>
      <c r="AM135" s="9">
        <f>O135+Q135+S135+U135+W135+Y135+AA135+AC135+AE135+AG135+AI135+AK135</f>
        <v>0</v>
      </c>
      <c r="AN135" s="9">
        <f>P135+R135+T135+V135+X135+Z135+AB135+AD135+AF135+AH135+AJ135+AL135</f>
        <v>391546.64</v>
      </c>
      <c r="AO135" s="248">
        <f>AM135+AN135</f>
        <v>391546.64</v>
      </c>
      <c r="AP135" s="10"/>
      <c r="AQ135" s="10"/>
      <c r="AR135" s="10"/>
      <c r="AS135" s="10"/>
      <c r="AT135" s="163">
        <f t="shared" si="26"/>
        <v>391546.64</v>
      </c>
      <c r="AU135" s="2"/>
      <c r="AV135" s="2"/>
      <c r="AW135" s="168"/>
      <c r="AX135" s="21">
        <f t="shared" si="32"/>
        <v>434983.98400000005</v>
      </c>
      <c r="AY135" s="26">
        <f>228503.5+3159.76</f>
        <v>231663.26</v>
      </c>
    </row>
    <row r="136" spans="1:51" ht="15.75" customHeight="1">
      <c r="A136" s="1">
        <v>128</v>
      </c>
      <c r="B136" s="1" t="s">
        <v>149</v>
      </c>
      <c r="C136" s="1">
        <v>462.6</v>
      </c>
      <c r="D136" s="1">
        <v>0</v>
      </c>
      <c r="E136" s="1">
        <f aca="true" t="shared" si="42" ref="E136:E184">C136+D136</f>
        <v>462.6</v>
      </c>
      <c r="F136" s="2">
        <v>8.44</v>
      </c>
      <c r="G136" s="2">
        <f t="shared" si="33"/>
        <v>3904.344</v>
      </c>
      <c r="H136" s="2">
        <f t="shared" si="39"/>
        <v>23426.064</v>
      </c>
      <c r="I136" s="2">
        <f t="shared" si="27"/>
        <v>8.44</v>
      </c>
      <c r="J136" s="2">
        <f t="shared" si="41"/>
        <v>3904.344</v>
      </c>
      <c r="K136" s="2">
        <f t="shared" si="34"/>
        <v>23426.064</v>
      </c>
      <c r="L136" s="13">
        <f t="shared" si="40"/>
        <v>46852.128</v>
      </c>
      <c r="M136" s="139"/>
      <c r="N136" s="34">
        <f t="shared" si="35"/>
        <v>46852.128</v>
      </c>
      <c r="O136" s="152">
        <v>0</v>
      </c>
      <c r="P136" s="152">
        <v>1418.88</v>
      </c>
      <c r="Q136" s="1">
        <v>0</v>
      </c>
      <c r="R136" s="1">
        <v>1418.88</v>
      </c>
      <c r="S136" s="1">
        <v>0</v>
      </c>
      <c r="T136" s="1">
        <v>1418.88</v>
      </c>
      <c r="U136" s="33">
        <v>0</v>
      </c>
      <c r="V136" s="33">
        <v>1998.88</v>
      </c>
      <c r="W136" s="1">
        <v>0</v>
      </c>
      <c r="X136" s="1">
        <v>1418.88</v>
      </c>
      <c r="Y136" s="1">
        <v>0</v>
      </c>
      <c r="Z136" s="1">
        <v>1418.88</v>
      </c>
      <c r="AA136" s="33">
        <v>0</v>
      </c>
      <c r="AB136" s="33">
        <v>1418.88</v>
      </c>
      <c r="AC136" s="33">
        <v>0</v>
      </c>
      <c r="AD136" s="33">
        <v>1418.88</v>
      </c>
      <c r="AE136" s="33">
        <v>0</v>
      </c>
      <c r="AF136" s="33">
        <v>1418.88</v>
      </c>
      <c r="AG136" s="1">
        <v>0</v>
      </c>
      <c r="AH136" s="1">
        <v>2579.29</v>
      </c>
      <c r="AI136" s="1">
        <v>0</v>
      </c>
      <c r="AJ136" s="1">
        <v>1418.88</v>
      </c>
      <c r="AK136" s="1">
        <v>0</v>
      </c>
      <c r="AL136" s="1">
        <v>1418.88</v>
      </c>
      <c r="AM136" s="9">
        <f t="shared" si="36"/>
        <v>0</v>
      </c>
      <c r="AN136" s="9">
        <f t="shared" si="37"/>
        <v>18766.970000000005</v>
      </c>
      <c r="AO136" s="248">
        <f t="shared" si="38"/>
        <v>18766.970000000005</v>
      </c>
      <c r="AP136" s="10"/>
      <c r="AQ136" s="10"/>
      <c r="AR136" s="10"/>
      <c r="AS136" s="10"/>
      <c r="AT136" s="163">
        <f t="shared" si="26"/>
        <v>18766.970000000005</v>
      </c>
      <c r="AU136" s="2"/>
      <c r="AV136" s="2"/>
      <c r="AW136" s="168"/>
      <c r="AX136" s="21">
        <f t="shared" si="32"/>
        <v>28085.157999999992</v>
      </c>
      <c r="AY136" s="26">
        <v>38172.66</v>
      </c>
    </row>
    <row r="137" spans="1:51" ht="15.75">
      <c r="A137" s="1">
        <v>129</v>
      </c>
      <c r="B137" s="1" t="s">
        <v>150</v>
      </c>
      <c r="C137" s="1">
        <v>465</v>
      </c>
      <c r="D137" s="1">
        <v>0</v>
      </c>
      <c r="E137" s="1">
        <f t="shared" si="42"/>
        <v>465</v>
      </c>
      <c r="F137" s="2">
        <v>9.78</v>
      </c>
      <c r="G137" s="2">
        <f t="shared" si="33"/>
        <v>4547.7</v>
      </c>
      <c r="H137" s="2">
        <f t="shared" si="39"/>
        <v>27286.199999999997</v>
      </c>
      <c r="I137" s="2">
        <f t="shared" si="27"/>
        <v>9.78</v>
      </c>
      <c r="J137" s="2">
        <f t="shared" si="41"/>
        <v>4547.7</v>
      </c>
      <c r="K137" s="2">
        <f t="shared" si="34"/>
        <v>27286.199999999997</v>
      </c>
      <c r="L137" s="13">
        <f t="shared" si="40"/>
        <v>54572.399999999994</v>
      </c>
      <c r="M137" s="139">
        <v>-68320.68</v>
      </c>
      <c r="N137" s="34">
        <f t="shared" si="35"/>
        <v>-13748.279999999999</v>
      </c>
      <c r="O137" s="152">
        <v>0</v>
      </c>
      <c r="P137" s="152">
        <v>1425.05</v>
      </c>
      <c r="Q137" s="1">
        <v>0</v>
      </c>
      <c r="R137" s="1">
        <v>1425.05</v>
      </c>
      <c r="S137" s="1">
        <v>0</v>
      </c>
      <c r="T137" s="1">
        <v>3685.91</v>
      </c>
      <c r="U137" s="33">
        <v>0</v>
      </c>
      <c r="V137" s="33">
        <v>2005.05</v>
      </c>
      <c r="W137" s="1">
        <v>0</v>
      </c>
      <c r="X137" s="1">
        <v>8348.35</v>
      </c>
      <c r="Y137" s="1">
        <v>0</v>
      </c>
      <c r="Z137" s="1">
        <v>1425.05</v>
      </c>
      <c r="AA137" s="33">
        <v>0</v>
      </c>
      <c r="AB137" s="33">
        <v>1425.05</v>
      </c>
      <c r="AC137" s="33">
        <v>0</v>
      </c>
      <c r="AD137" s="33">
        <v>1425.05</v>
      </c>
      <c r="AE137" s="33">
        <v>0</v>
      </c>
      <c r="AF137" s="33">
        <v>1425.05</v>
      </c>
      <c r="AG137" s="1">
        <v>0</v>
      </c>
      <c r="AH137" s="1">
        <v>2585.46</v>
      </c>
      <c r="AI137" s="1">
        <v>0</v>
      </c>
      <c r="AJ137" s="1">
        <v>1425.05</v>
      </c>
      <c r="AK137" s="1">
        <v>0</v>
      </c>
      <c r="AL137" s="1">
        <v>1425.05</v>
      </c>
      <c r="AM137" s="9">
        <f t="shared" si="36"/>
        <v>0</v>
      </c>
      <c r="AN137" s="9">
        <f t="shared" si="37"/>
        <v>28025.169999999995</v>
      </c>
      <c r="AO137" s="248">
        <f t="shared" si="38"/>
        <v>28025.169999999995</v>
      </c>
      <c r="AP137" s="10"/>
      <c r="AQ137" s="10"/>
      <c r="AR137" s="10"/>
      <c r="AS137" s="10"/>
      <c r="AT137" s="163">
        <f aca="true" t="shared" si="43" ref="AT137:AT200">AO137+AP137+AQ137+AR137+AS137</f>
        <v>28025.169999999995</v>
      </c>
      <c r="AU137" s="2"/>
      <c r="AV137" s="2"/>
      <c r="AW137" s="168"/>
      <c r="AX137" s="21">
        <f t="shared" si="32"/>
        <v>-41773.45</v>
      </c>
      <c r="AY137" s="26">
        <v>95677.82</v>
      </c>
    </row>
    <row r="138" spans="1:51" ht="21.75" customHeight="1">
      <c r="A138" s="1">
        <v>130</v>
      </c>
      <c r="B138" s="1" t="s">
        <v>315</v>
      </c>
      <c r="C138" s="1">
        <v>405</v>
      </c>
      <c r="D138" s="1">
        <v>0</v>
      </c>
      <c r="E138" s="1">
        <f t="shared" si="42"/>
        <v>405</v>
      </c>
      <c r="F138" s="2">
        <v>12.67</v>
      </c>
      <c r="G138" s="2">
        <f t="shared" si="33"/>
        <v>5131.35</v>
      </c>
      <c r="H138" s="2">
        <f t="shared" si="39"/>
        <v>30788.100000000002</v>
      </c>
      <c r="I138" s="2">
        <f aca="true" t="shared" si="44" ref="I138:I201">F138*1</f>
        <v>12.67</v>
      </c>
      <c r="J138" s="2">
        <f t="shared" si="41"/>
        <v>5131.35</v>
      </c>
      <c r="K138" s="2">
        <f t="shared" si="34"/>
        <v>30788.100000000002</v>
      </c>
      <c r="L138" s="13">
        <f t="shared" si="40"/>
        <v>61576.200000000004</v>
      </c>
      <c r="M138" s="139">
        <v>-19630.2</v>
      </c>
      <c r="N138" s="34">
        <f t="shared" si="35"/>
        <v>41946</v>
      </c>
      <c r="O138" s="152">
        <v>15089.84</v>
      </c>
      <c r="P138" s="152">
        <v>7802.2</v>
      </c>
      <c r="Q138" s="1">
        <v>3408.69</v>
      </c>
      <c r="R138" s="1">
        <v>1040.85</v>
      </c>
      <c r="S138" s="1">
        <v>0</v>
      </c>
      <c r="T138" s="1">
        <v>7221.69</v>
      </c>
      <c r="U138" s="33">
        <v>0</v>
      </c>
      <c r="V138" s="33">
        <v>1620.85</v>
      </c>
      <c r="W138" s="1">
        <v>0</v>
      </c>
      <c r="X138" s="1">
        <v>1040.85</v>
      </c>
      <c r="Y138" s="1">
        <v>0</v>
      </c>
      <c r="Z138" s="1">
        <v>1040.85</v>
      </c>
      <c r="AA138" s="33">
        <v>2517.1</v>
      </c>
      <c r="AB138" s="33">
        <v>1040.85</v>
      </c>
      <c r="AC138" s="33">
        <v>0</v>
      </c>
      <c r="AD138" s="33">
        <v>1040.85</v>
      </c>
      <c r="AE138" s="33">
        <v>0</v>
      </c>
      <c r="AF138" s="33">
        <v>1040.85</v>
      </c>
      <c r="AG138" s="1">
        <v>0</v>
      </c>
      <c r="AH138" s="1">
        <v>1676.51</v>
      </c>
      <c r="AI138" s="1">
        <v>0</v>
      </c>
      <c r="AJ138" s="1">
        <v>1040.85</v>
      </c>
      <c r="AK138" s="1">
        <v>1136.23</v>
      </c>
      <c r="AL138" s="1">
        <v>1040.85</v>
      </c>
      <c r="AM138" s="9">
        <f t="shared" si="36"/>
        <v>22151.859999999997</v>
      </c>
      <c r="AN138" s="9">
        <f t="shared" si="37"/>
        <v>26648.049999999985</v>
      </c>
      <c r="AO138" s="248">
        <f t="shared" si="38"/>
        <v>48799.90999999998</v>
      </c>
      <c r="AP138" s="10"/>
      <c r="AQ138" s="10"/>
      <c r="AR138" s="10"/>
      <c r="AS138" s="10"/>
      <c r="AT138" s="163">
        <f t="shared" si="43"/>
        <v>48799.90999999998</v>
      </c>
      <c r="AU138" s="2"/>
      <c r="AV138" s="2"/>
      <c r="AW138" s="168"/>
      <c r="AX138" s="21">
        <f t="shared" si="32"/>
        <v>-6853.909999999982</v>
      </c>
      <c r="AY138" s="26">
        <f>313804.23+6631.01</f>
        <v>320435.24</v>
      </c>
    </row>
    <row r="139" spans="1:78" s="18" customFormat="1" ht="15.75">
      <c r="A139" s="1">
        <v>131</v>
      </c>
      <c r="B139" s="1" t="s">
        <v>151</v>
      </c>
      <c r="C139" s="1">
        <v>709.8</v>
      </c>
      <c r="D139" s="1">
        <v>0</v>
      </c>
      <c r="E139" s="1">
        <f t="shared" si="42"/>
        <v>709.8</v>
      </c>
      <c r="F139" s="2">
        <v>12.28</v>
      </c>
      <c r="G139" s="2">
        <f t="shared" si="33"/>
        <v>8716.344</v>
      </c>
      <c r="H139" s="2">
        <f t="shared" si="39"/>
        <v>52298.064</v>
      </c>
      <c r="I139" s="2">
        <f t="shared" si="44"/>
        <v>12.28</v>
      </c>
      <c r="J139" s="2">
        <f t="shared" si="41"/>
        <v>8716.344</v>
      </c>
      <c r="K139" s="2">
        <f t="shared" si="34"/>
        <v>52298.064</v>
      </c>
      <c r="L139" s="13">
        <f t="shared" si="40"/>
        <v>104596.128</v>
      </c>
      <c r="M139" s="139">
        <v>-231302.08</v>
      </c>
      <c r="N139" s="34">
        <f>L139+M139</f>
        <v>-126705.95199999999</v>
      </c>
      <c r="O139" s="152">
        <v>0</v>
      </c>
      <c r="P139" s="152">
        <v>2054.19</v>
      </c>
      <c r="Q139" s="1">
        <v>3408.69</v>
      </c>
      <c r="R139" s="1">
        <v>2054.19</v>
      </c>
      <c r="S139" s="1">
        <v>6467.44</v>
      </c>
      <c r="T139" s="1">
        <v>2054.19</v>
      </c>
      <c r="U139" s="33">
        <v>3391.28</v>
      </c>
      <c r="V139" s="33">
        <v>2863.08</v>
      </c>
      <c r="W139" s="1">
        <v>9556.59</v>
      </c>
      <c r="X139" s="1">
        <v>2054.19</v>
      </c>
      <c r="Y139" s="1">
        <v>0</v>
      </c>
      <c r="Z139" s="1">
        <v>2054.19</v>
      </c>
      <c r="AA139" s="33">
        <v>2027.1</v>
      </c>
      <c r="AB139" s="33">
        <v>2054.19</v>
      </c>
      <c r="AC139" s="33">
        <v>0</v>
      </c>
      <c r="AD139" s="33">
        <v>2054.19</v>
      </c>
      <c r="AE139" s="33">
        <v>0</v>
      </c>
      <c r="AF139" s="33">
        <v>2054.19</v>
      </c>
      <c r="AG139" s="1">
        <v>0</v>
      </c>
      <c r="AH139" s="1">
        <v>3214.6</v>
      </c>
      <c r="AI139" s="1">
        <v>679.32</v>
      </c>
      <c r="AJ139" s="1">
        <v>2054.19</v>
      </c>
      <c r="AK139" s="1">
        <v>2090.66</v>
      </c>
      <c r="AL139" s="1">
        <v>2054.19</v>
      </c>
      <c r="AM139" s="9">
        <f t="shared" si="36"/>
        <v>27621.079999999998</v>
      </c>
      <c r="AN139" s="9">
        <f t="shared" si="37"/>
        <v>26619.579999999994</v>
      </c>
      <c r="AO139" s="248">
        <f t="shared" si="38"/>
        <v>54240.65999999999</v>
      </c>
      <c r="AP139" s="10"/>
      <c r="AQ139" s="10"/>
      <c r="AR139" s="10"/>
      <c r="AS139" s="10"/>
      <c r="AT139" s="163">
        <f t="shared" si="43"/>
        <v>54240.65999999999</v>
      </c>
      <c r="AU139" s="2"/>
      <c r="AV139" s="2">
        <f>E139*0.65+(E139*0.69)*3</f>
        <v>1930.656</v>
      </c>
      <c r="AW139" s="168"/>
      <c r="AX139" s="21">
        <f t="shared" si="32"/>
        <v>-179015.95599999998</v>
      </c>
      <c r="AY139" s="26">
        <v>599572.61</v>
      </c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</row>
    <row r="140" spans="1:51" ht="15.75">
      <c r="A140" s="1">
        <v>132</v>
      </c>
      <c r="B140" s="1" t="s">
        <v>152</v>
      </c>
      <c r="C140" s="1">
        <v>5507.96</v>
      </c>
      <c r="D140" s="1">
        <v>48.7</v>
      </c>
      <c r="E140" s="1">
        <f t="shared" si="42"/>
        <v>5556.66</v>
      </c>
      <c r="F140" s="2">
        <v>14.97</v>
      </c>
      <c r="G140" s="2">
        <f t="shared" si="33"/>
        <v>83183.2002</v>
      </c>
      <c r="H140" s="2">
        <f t="shared" si="39"/>
        <v>499099.2012</v>
      </c>
      <c r="I140" s="2">
        <f t="shared" si="44"/>
        <v>14.97</v>
      </c>
      <c r="J140" s="2">
        <f t="shared" si="41"/>
        <v>83183.2002</v>
      </c>
      <c r="K140" s="2">
        <f t="shared" si="34"/>
        <v>499099.2012</v>
      </c>
      <c r="L140" s="13">
        <f t="shared" si="40"/>
        <v>998198.4024</v>
      </c>
      <c r="M140" s="139"/>
      <c r="N140" s="34">
        <f t="shared" si="35"/>
        <v>998198.4024</v>
      </c>
      <c r="O140" s="152">
        <v>44515.23</v>
      </c>
      <c r="P140" s="152">
        <v>31361.22</v>
      </c>
      <c r="Q140" s="1">
        <v>115134.73</v>
      </c>
      <c r="R140" s="1">
        <v>27229.29</v>
      </c>
      <c r="S140" s="1">
        <v>2552.56</v>
      </c>
      <c r="T140" s="1">
        <v>57032.32</v>
      </c>
      <c r="U140" s="33">
        <v>2068.66</v>
      </c>
      <c r="V140" s="33">
        <v>25263.4</v>
      </c>
      <c r="W140" s="1">
        <v>453.55</v>
      </c>
      <c r="X140" s="1">
        <v>14740.62</v>
      </c>
      <c r="Y140" s="1">
        <v>0</v>
      </c>
      <c r="Z140" s="1">
        <v>20635</v>
      </c>
      <c r="AA140" s="33">
        <v>19355.4</v>
      </c>
      <c r="AB140" s="33">
        <v>14740.62</v>
      </c>
      <c r="AC140" s="33">
        <v>800.63</v>
      </c>
      <c r="AD140" s="33">
        <v>27232.01</v>
      </c>
      <c r="AE140" s="33">
        <v>60391.03</v>
      </c>
      <c r="AF140" s="33">
        <v>22425.77</v>
      </c>
      <c r="AG140" s="1">
        <v>907.1</v>
      </c>
      <c r="AH140" s="1">
        <v>19015.43</v>
      </c>
      <c r="AI140" s="1">
        <v>2387.45</v>
      </c>
      <c r="AJ140" s="1">
        <v>29208.74</v>
      </c>
      <c r="AK140" s="1">
        <v>20177.76</v>
      </c>
      <c r="AL140" s="1">
        <v>19961.72</v>
      </c>
      <c r="AM140" s="9">
        <f t="shared" si="36"/>
        <v>268744.1</v>
      </c>
      <c r="AN140" s="9">
        <f t="shared" si="37"/>
        <v>308846.14</v>
      </c>
      <c r="AO140" s="248">
        <f t="shared" si="38"/>
        <v>577590.24</v>
      </c>
      <c r="AP140" s="10"/>
      <c r="AQ140" s="10">
        <f>(144015.88-98707.59)+154841.94</f>
        <v>200150.23</v>
      </c>
      <c r="AR140" s="10"/>
      <c r="AS140" s="10"/>
      <c r="AT140" s="163">
        <f t="shared" si="43"/>
        <v>777740.47</v>
      </c>
      <c r="AU140" s="2"/>
      <c r="AV140" s="2"/>
      <c r="AW140" s="168">
        <v>4128</v>
      </c>
      <c r="AX140" s="21">
        <f t="shared" si="32"/>
        <v>224585.93240000005</v>
      </c>
      <c r="AY140" s="26">
        <v>373819.63</v>
      </c>
    </row>
    <row r="141" spans="1:51" ht="17.25" customHeight="1">
      <c r="A141" s="1">
        <v>133</v>
      </c>
      <c r="B141" s="1" t="s">
        <v>153</v>
      </c>
      <c r="C141" s="1">
        <v>2730</v>
      </c>
      <c r="D141" s="1">
        <v>812.7</v>
      </c>
      <c r="E141" s="1">
        <f t="shared" si="42"/>
        <v>3542.7</v>
      </c>
      <c r="F141" s="2">
        <v>14.32</v>
      </c>
      <c r="G141" s="2">
        <f t="shared" si="33"/>
        <v>50731.464</v>
      </c>
      <c r="H141" s="2">
        <f t="shared" si="39"/>
        <v>304388.784</v>
      </c>
      <c r="I141" s="2">
        <f t="shared" si="44"/>
        <v>14.32</v>
      </c>
      <c r="J141" s="2">
        <f t="shared" si="41"/>
        <v>50731.464</v>
      </c>
      <c r="K141" s="2">
        <f t="shared" si="34"/>
        <v>304388.784</v>
      </c>
      <c r="L141" s="13">
        <f t="shared" si="40"/>
        <v>608777.568</v>
      </c>
      <c r="M141" s="139">
        <v>-58831.97</v>
      </c>
      <c r="N141" s="34">
        <f t="shared" si="35"/>
        <v>549945.598</v>
      </c>
      <c r="O141" s="152">
        <v>6518.57</v>
      </c>
      <c r="P141" s="152">
        <v>12823.54</v>
      </c>
      <c r="Q141" s="1">
        <v>22874.91</v>
      </c>
      <c r="R141" s="1">
        <v>14496.96</v>
      </c>
      <c r="S141" s="1">
        <v>61851.77</v>
      </c>
      <c r="T141" s="1">
        <v>14662.74</v>
      </c>
      <c r="U141" s="33">
        <v>8094.85</v>
      </c>
      <c r="V141" s="33">
        <v>16823.23</v>
      </c>
      <c r="W141" s="1">
        <v>16284.5</v>
      </c>
      <c r="X141" s="1">
        <v>9334.74</v>
      </c>
      <c r="Y141" s="1">
        <v>15737.38</v>
      </c>
      <c r="Z141" s="1">
        <v>9334.74</v>
      </c>
      <c r="AA141" s="33">
        <v>19307.38</v>
      </c>
      <c r="AB141" s="33">
        <v>15462.37</v>
      </c>
      <c r="AC141" s="33">
        <v>19487.09</v>
      </c>
      <c r="AD141" s="33">
        <v>17918.29</v>
      </c>
      <c r="AE141" s="33">
        <v>89869.43</v>
      </c>
      <c r="AF141" s="33">
        <v>19344.32</v>
      </c>
      <c r="AG141" s="1">
        <v>7879.22</v>
      </c>
      <c r="AH141" s="1">
        <v>10495.15</v>
      </c>
      <c r="AI141" s="1">
        <v>6887.74</v>
      </c>
      <c r="AJ141" s="1">
        <v>9334.74</v>
      </c>
      <c r="AK141" s="1">
        <v>60503.09</v>
      </c>
      <c r="AL141" s="1">
        <v>9334.74</v>
      </c>
      <c r="AM141" s="9">
        <f t="shared" si="36"/>
        <v>335295.92999999993</v>
      </c>
      <c r="AN141" s="9">
        <f t="shared" si="37"/>
        <v>159365.56</v>
      </c>
      <c r="AO141" s="248">
        <f t="shared" si="38"/>
        <v>494661.48999999993</v>
      </c>
      <c r="AP141" s="10"/>
      <c r="AQ141" s="10">
        <f>(385027.56-51002.47-31196.7)+126602.35+69889.07+10448</f>
        <v>509767.81</v>
      </c>
      <c r="AR141" s="10"/>
      <c r="AS141" s="10"/>
      <c r="AT141" s="163">
        <f t="shared" si="43"/>
        <v>1004429.2999999999</v>
      </c>
      <c r="AU141" s="2"/>
      <c r="AV141" s="2"/>
      <c r="AW141" s="168">
        <v>4128</v>
      </c>
      <c r="AX141" s="21">
        <f t="shared" si="32"/>
        <v>-450355.70199999993</v>
      </c>
      <c r="AY141" s="26">
        <v>67956.82</v>
      </c>
    </row>
    <row r="142" spans="1:51" ht="15.75" customHeight="1">
      <c r="A142" s="1">
        <v>134</v>
      </c>
      <c r="B142" s="1" t="s">
        <v>316</v>
      </c>
      <c r="C142" s="1">
        <v>329.1</v>
      </c>
      <c r="D142" s="1">
        <v>0</v>
      </c>
      <c r="E142" s="1">
        <f t="shared" si="42"/>
        <v>329.1</v>
      </c>
      <c r="F142" s="2">
        <v>12.23</v>
      </c>
      <c r="G142" s="2">
        <f t="shared" si="33"/>
        <v>4024.8930000000005</v>
      </c>
      <c r="H142" s="2">
        <f t="shared" si="39"/>
        <v>24149.358000000004</v>
      </c>
      <c r="I142" s="2">
        <f t="shared" si="44"/>
        <v>12.23</v>
      </c>
      <c r="J142" s="2">
        <f t="shared" si="41"/>
        <v>4024.8930000000005</v>
      </c>
      <c r="K142" s="2">
        <f t="shared" si="34"/>
        <v>24149.358000000004</v>
      </c>
      <c r="L142" s="13">
        <f t="shared" si="40"/>
        <v>48298.71600000001</v>
      </c>
      <c r="M142" s="139">
        <v>-8275.69</v>
      </c>
      <c r="N142" s="34">
        <f t="shared" si="35"/>
        <v>40023.026000000005</v>
      </c>
      <c r="O142" s="152">
        <v>0</v>
      </c>
      <c r="P142" s="152">
        <v>845.79</v>
      </c>
      <c r="Q142" s="1">
        <v>0</v>
      </c>
      <c r="R142" s="1">
        <v>845.79</v>
      </c>
      <c r="S142" s="1">
        <v>0</v>
      </c>
      <c r="T142" s="1">
        <v>845.79</v>
      </c>
      <c r="U142" s="33">
        <v>0</v>
      </c>
      <c r="V142" s="33">
        <v>1425.79</v>
      </c>
      <c r="W142" s="1">
        <v>0</v>
      </c>
      <c r="X142" s="1">
        <v>845.79</v>
      </c>
      <c r="Y142" s="1">
        <v>0</v>
      </c>
      <c r="Z142" s="1">
        <v>845.79</v>
      </c>
      <c r="AA142" s="33">
        <v>0</v>
      </c>
      <c r="AB142" s="33">
        <v>845.79</v>
      </c>
      <c r="AC142" s="33">
        <v>0</v>
      </c>
      <c r="AD142" s="33">
        <v>845.79</v>
      </c>
      <c r="AE142" s="33">
        <v>0</v>
      </c>
      <c r="AF142" s="33">
        <v>845.79</v>
      </c>
      <c r="AG142" s="1">
        <v>0</v>
      </c>
      <c r="AH142" s="1">
        <v>1481.45</v>
      </c>
      <c r="AI142" s="1">
        <v>0</v>
      </c>
      <c r="AJ142" s="1">
        <v>845.79</v>
      </c>
      <c r="AK142" s="1">
        <v>0</v>
      </c>
      <c r="AL142" s="1">
        <v>845.79</v>
      </c>
      <c r="AM142" s="9">
        <f t="shared" si="36"/>
        <v>0</v>
      </c>
      <c r="AN142" s="9">
        <f t="shared" si="37"/>
        <v>11365.140000000003</v>
      </c>
      <c r="AO142" s="248">
        <f t="shared" si="38"/>
        <v>11365.140000000003</v>
      </c>
      <c r="AP142" s="10"/>
      <c r="AQ142" s="10"/>
      <c r="AR142" s="10"/>
      <c r="AS142" s="10"/>
      <c r="AT142" s="163">
        <f t="shared" si="43"/>
        <v>11365.140000000003</v>
      </c>
      <c r="AU142" s="2"/>
      <c r="AV142" s="2"/>
      <c r="AW142" s="168"/>
      <c r="AX142" s="21">
        <f t="shared" si="32"/>
        <v>28657.886000000002</v>
      </c>
      <c r="AY142" s="26">
        <f>6704.4+17746.14</f>
        <v>24450.54</v>
      </c>
    </row>
    <row r="143" spans="1:51" ht="15.75">
      <c r="A143" s="1">
        <v>135</v>
      </c>
      <c r="B143" s="1" t="s">
        <v>317</v>
      </c>
      <c r="C143" s="1">
        <v>529.5</v>
      </c>
      <c r="D143" s="1">
        <v>0</v>
      </c>
      <c r="E143" s="1">
        <f t="shared" si="42"/>
        <v>529.5</v>
      </c>
      <c r="F143" s="2">
        <v>10.19</v>
      </c>
      <c r="G143" s="2">
        <f t="shared" si="33"/>
        <v>5395.605</v>
      </c>
      <c r="H143" s="2">
        <f t="shared" si="39"/>
        <v>32373.629999999997</v>
      </c>
      <c r="I143" s="2">
        <f t="shared" si="44"/>
        <v>10.19</v>
      </c>
      <c r="J143" s="2">
        <f t="shared" si="41"/>
        <v>5395.605</v>
      </c>
      <c r="K143" s="2">
        <f t="shared" si="34"/>
        <v>32373.629999999997</v>
      </c>
      <c r="L143" s="13">
        <f t="shared" si="40"/>
        <v>64747.259999999995</v>
      </c>
      <c r="M143" s="139">
        <v>-51904.24</v>
      </c>
      <c r="N143" s="34">
        <f t="shared" si="35"/>
        <v>12843.019999999997</v>
      </c>
      <c r="O143" s="152">
        <v>0</v>
      </c>
      <c r="P143" s="152">
        <v>1360.82</v>
      </c>
      <c r="Q143" s="1">
        <v>0</v>
      </c>
      <c r="R143" s="1">
        <v>1360.82</v>
      </c>
      <c r="S143" s="1">
        <v>0</v>
      </c>
      <c r="T143" s="1">
        <v>1360.82</v>
      </c>
      <c r="U143" s="33">
        <v>0</v>
      </c>
      <c r="V143" s="33">
        <v>1940.82</v>
      </c>
      <c r="W143" s="1">
        <v>0</v>
      </c>
      <c r="X143" s="1">
        <v>1360.82</v>
      </c>
      <c r="Y143" s="1">
        <v>0</v>
      </c>
      <c r="Z143" s="1">
        <v>1360.82</v>
      </c>
      <c r="AA143" s="33">
        <v>0</v>
      </c>
      <c r="AB143" s="33">
        <v>1360.82</v>
      </c>
      <c r="AC143" s="33">
        <v>0</v>
      </c>
      <c r="AD143" s="33">
        <v>1360.82</v>
      </c>
      <c r="AE143" s="33">
        <v>0</v>
      </c>
      <c r="AF143" s="33">
        <v>1360.82</v>
      </c>
      <c r="AG143" s="1">
        <v>0</v>
      </c>
      <c r="AH143" s="1">
        <v>1996.48</v>
      </c>
      <c r="AI143" s="1">
        <v>0</v>
      </c>
      <c r="AJ143" s="1">
        <v>1360.82</v>
      </c>
      <c r="AK143" s="1">
        <v>0</v>
      </c>
      <c r="AL143" s="1">
        <v>1360.82</v>
      </c>
      <c r="AM143" s="9">
        <f t="shared" si="36"/>
        <v>0</v>
      </c>
      <c r="AN143" s="9">
        <f t="shared" si="37"/>
        <v>17545.5</v>
      </c>
      <c r="AO143" s="248">
        <f t="shared" si="38"/>
        <v>17545.5</v>
      </c>
      <c r="AP143" s="10"/>
      <c r="AQ143" s="10"/>
      <c r="AR143" s="10"/>
      <c r="AS143" s="10"/>
      <c r="AT143" s="163">
        <f t="shared" si="43"/>
        <v>17545.5</v>
      </c>
      <c r="AU143" s="2"/>
      <c r="AV143" s="2"/>
      <c r="AW143" s="168"/>
      <c r="AX143" s="21">
        <f t="shared" si="32"/>
        <v>-4702.480000000003</v>
      </c>
      <c r="AY143" s="26">
        <f>314156.04+208392.58</f>
        <v>522548.62</v>
      </c>
    </row>
    <row r="144" spans="1:51" ht="15.75" customHeight="1">
      <c r="A144" s="1">
        <v>136</v>
      </c>
      <c r="B144" s="1" t="s">
        <v>154</v>
      </c>
      <c r="C144" s="1">
        <v>479.1</v>
      </c>
      <c r="D144" s="1">
        <v>0</v>
      </c>
      <c r="E144" s="1">
        <f t="shared" si="42"/>
        <v>479.1</v>
      </c>
      <c r="F144" s="2">
        <v>11.22</v>
      </c>
      <c r="G144" s="2">
        <f t="shared" si="33"/>
        <v>5375.502</v>
      </c>
      <c r="H144" s="2">
        <f t="shared" si="39"/>
        <v>32253.012000000002</v>
      </c>
      <c r="I144" s="2">
        <f t="shared" si="44"/>
        <v>11.22</v>
      </c>
      <c r="J144" s="2">
        <f t="shared" si="41"/>
        <v>5375.502</v>
      </c>
      <c r="K144" s="2">
        <f t="shared" si="34"/>
        <v>32253.012000000002</v>
      </c>
      <c r="L144" s="13">
        <f t="shared" si="40"/>
        <v>64506.024000000005</v>
      </c>
      <c r="M144" s="139"/>
      <c r="N144" s="34">
        <f t="shared" si="35"/>
        <v>64506.024000000005</v>
      </c>
      <c r="O144" s="152">
        <v>0</v>
      </c>
      <c r="P144" s="152">
        <v>3936.2</v>
      </c>
      <c r="Q144" s="1">
        <v>0</v>
      </c>
      <c r="R144" s="1">
        <v>8033.42</v>
      </c>
      <c r="S144" s="1">
        <v>0</v>
      </c>
      <c r="T144" s="1">
        <v>1461.29</v>
      </c>
      <c r="U144" s="33">
        <v>0</v>
      </c>
      <c r="V144" s="33">
        <v>2041.29</v>
      </c>
      <c r="W144" s="1">
        <v>0</v>
      </c>
      <c r="X144" s="1">
        <v>3010.28</v>
      </c>
      <c r="Y144" s="1">
        <v>0</v>
      </c>
      <c r="Z144" s="1">
        <v>9441.29</v>
      </c>
      <c r="AA144" s="33">
        <v>0</v>
      </c>
      <c r="AB144" s="33">
        <v>1461.29</v>
      </c>
      <c r="AC144" s="33">
        <v>0</v>
      </c>
      <c r="AD144" s="33">
        <v>1461.29</v>
      </c>
      <c r="AE144" s="33">
        <v>0</v>
      </c>
      <c r="AF144" s="33">
        <v>1461.29</v>
      </c>
      <c r="AG144" s="1">
        <v>0</v>
      </c>
      <c r="AH144" s="1">
        <v>2621.7</v>
      </c>
      <c r="AI144" s="1">
        <v>0</v>
      </c>
      <c r="AJ144" s="1">
        <v>1461.29</v>
      </c>
      <c r="AK144" s="1">
        <v>0</v>
      </c>
      <c r="AL144" s="1">
        <v>4928.13</v>
      </c>
      <c r="AM144" s="9">
        <f t="shared" si="36"/>
        <v>0</v>
      </c>
      <c r="AN144" s="9">
        <f t="shared" si="37"/>
        <v>41318.76</v>
      </c>
      <c r="AO144" s="248">
        <f t="shared" si="38"/>
        <v>41318.76</v>
      </c>
      <c r="AP144" s="10"/>
      <c r="AQ144" s="10"/>
      <c r="AR144" s="10"/>
      <c r="AS144" s="10"/>
      <c r="AT144" s="163">
        <f t="shared" si="43"/>
        <v>41318.76</v>
      </c>
      <c r="AU144" s="2"/>
      <c r="AV144" s="2"/>
      <c r="AW144" s="168"/>
      <c r="AX144" s="21">
        <f t="shared" si="32"/>
        <v>23187.264000000003</v>
      </c>
      <c r="AY144" s="26">
        <v>23696.55</v>
      </c>
    </row>
    <row r="145" spans="1:51" ht="15.75">
      <c r="A145" s="1">
        <v>137</v>
      </c>
      <c r="B145" s="1" t="s">
        <v>155</v>
      </c>
      <c r="C145" s="1">
        <v>5780.6</v>
      </c>
      <c r="D145" s="1">
        <v>175.2</v>
      </c>
      <c r="E145" s="1">
        <f t="shared" si="42"/>
        <v>5955.8</v>
      </c>
      <c r="F145" s="2">
        <v>14.97</v>
      </c>
      <c r="G145" s="2">
        <f t="shared" si="33"/>
        <v>89158.326</v>
      </c>
      <c r="H145" s="2">
        <f t="shared" si="39"/>
        <v>534949.956</v>
      </c>
      <c r="I145" s="2">
        <f t="shared" si="44"/>
        <v>14.97</v>
      </c>
      <c r="J145" s="2">
        <f t="shared" si="41"/>
        <v>89158.326</v>
      </c>
      <c r="K145" s="2">
        <f t="shared" si="34"/>
        <v>534949.956</v>
      </c>
      <c r="L145" s="13">
        <f t="shared" si="40"/>
        <v>1069899.912</v>
      </c>
      <c r="M145" s="139"/>
      <c r="N145" s="34">
        <f t="shared" si="35"/>
        <v>1069899.912</v>
      </c>
      <c r="O145" s="152">
        <v>40919.06</v>
      </c>
      <c r="P145" s="152">
        <v>21948.4</v>
      </c>
      <c r="Q145" s="1">
        <v>10958.67</v>
      </c>
      <c r="R145" s="1">
        <v>23423.01</v>
      </c>
      <c r="S145" s="1">
        <v>34033.26</v>
      </c>
      <c r="T145" s="1">
        <v>18892.79</v>
      </c>
      <c r="U145" s="33">
        <v>31569.45</v>
      </c>
      <c r="V145" s="33">
        <v>17386.41</v>
      </c>
      <c r="W145" s="1">
        <v>243184.64</v>
      </c>
      <c r="X145" s="1">
        <v>27437.73</v>
      </c>
      <c r="Y145" s="1">
        <v>90285.54</v>
      </c>
      <c r="Z145" s="1">
        <v>36723.11</v>
      </c>
      <c r="AA145" s="33">
        <v>154119.52</v>
      </c>
      <c r="AB145" s="33">
        <v>27044.95</v>
      </c>
      <c r="AC145" s="33">
        <v>250623.11</v>
      </c>
      <c r="AD145" s="33">
        <v>42059.53</v>
      </c>
      <c r="AE145" s="33">
        <v>361008.49</v>
      </c>
      <c r="AF145" s="33">
        <v>16226.41</v>
      </c>
      <c r="AG145" s="1">
        <v>214691.57</v>
      </c>
      <c r="AH145" s="1">
        <v>19478.03</v>
      </c>
      <c r="AI145" s="1">
        <v>18114.98</v>
      </c>
      <c r="AJ145" s="1">
        <v>24924.25</v>
      </c>
      <c r="AK145" s="1">
        <v>51647.72</v>
      </c>
      <c r="AL145" s="1">
        <v>19787.11</v>
      </c>
      <c r="AM145" s="9">
        <f t="shared" si="36"/>
        <v>1501156.01</v>
      </c>
      <c r="AN145" s="9">
        <f t="shared" si="37"/>
        <v>295331.73</v>
      </c>
      <c r="AO145" s="248">
        <f t="shared" si="38"/>
        <v>1796487.74</v>
      </c>
      <c r="AP145" s="19"/>
      <c r="AQ145" s="10"/>
      <c r="AR145" s="10"/>
      <c r="AS145" s="10"/>
      <c r="AT145" s="163">
        <f t="shared" si="43"/>
        <v>1796487.74</v>
      </c>
      <c r="AU145" s="2"/>
      <c r="AV145" s="2"/>
      <c r="AW145" s="168"/>
      <c r="AX145" s="21">
        <f t="shared" si="32"/>
        <v>-726587.828</v>
      </c>
      <c r="AY145" s="26">
        <v>270421.33</v>
      </c>
    </row>
    <row r="146" spans="1:51" ht="15.75">
      <c r="A146" s="1">
        <v>138</v>
      </c>
      <c r="B146" s="1" t="s">
        <v>156</v>
      </c>
      <c r="C146" s="1">
        <v>885.2</v>
      </c>
      <c r="D146" s="1">
        <v>95.7</v>
      </c>
      <c r="E146" s="1">
        <f t="shared" si="42"/>
        <v>980.9000000000001</v>
      </c>
      <c r="F146" s="2">
        <v>15.02</v>
      </c>
      <c r="G146" s="2">
        <f t="shared" si="33"/>
        <v>14733.118</v>
      </c>
      <c r="H146" s="2">
        <f t="shared" si="39"/>
        <v>88398.708</v>
      </c>
      <c r="I146" s="2">
        <f t="shared" si="44"/>
        <v>15.02</v>
      </c>
      <c r="J146" s="2">
        <f t="shared" si="41"/>
        <v>14733.118</v>
      </c>
      <c r="K146" s="2">
        <f t="shared" si="34"/>
        <v>88398.708</v>
      </c>
      <c r="L146" s="13">
        <f t="shared" si="40"/>
        <v>176797.416</v>
      </c>
      <c r="M146" s="139"/>
      <c r="N146" s="34">
        <f t="shared" si="35"/>
        <v>176797.416</v>
      </c>
      <c r="O146" s="152">
        <v>0</v>
      </c>
      <c r="P146" s="152">
        <v>2750.91</v>
      </c>
      <c r="Q146" s="1">
        <v>0</v>
      </c>
      <c r="R146" s="1">
        <v>2750.91</v>
      </c>
      <c r="S146" s="1">
        <v>0</v>
      </c>
      <c r="T146" s="1">
        <v>3259.21</v>
      </c>
      <c r="U146" s="33">
        <v>0</v>
      </c>
      <c r="V146" s="33">
        <v>3910.91</v>
      </c>
      <c r="W146" s="1">
        <v>0</v>
      </c>
      <c r="X146" s="1">
        <v>4565.12</v>
      </c>
      <c r="Y146" s="1">
        <v>0</v>
      </c>
      <c r="Z146" s="1">
        <v>15098.36</v>
      </c>
      <c r="AA146" s="33">
        <v>0</v>
      </c>
      <c r="AB146" s="33">
        <v>15770.08</v>
      </c>
      <c r="AC146" s="33">
        <v>0</v>
      </c>
      <c r="AD146" s="33">
        <v>80684.46</v>
      </c>
      <c r="AE146" s="33">
        <v>0</v>
      </c>
      <c r="AF146" s="33">
        <v>58932.64</v>
      </c>
      <c r="AG146" s="1">
        <v>0</v>
      </c>
      <c r="AH146" s="1">
        <v>7898.8</v>
      </c>
      <c r="AI146" s="1">
        <v>0</v>
      </c>
      <c r="AJ146" s="1">
        <v>3620.91</v>
      </c>
      <c r="AK146" s="1">
        <v>0</v>
      </c>
      <c r="AL146" s="1">
        <v>2750.91</v>
      </c>
      <c r="AM146" s="9">
        <f t="shared" si="36"/>
        <v>0</v>
      </c>
      <c r="AN146" s="9">
        <f t="shared" si="37"/>
        <v>201993.22</v>
      </c>
      <c r="AO146" s="248">
        <f t="shared" si="38"/>
        <v>201993.22</v>
      </c>
      <c r="AP146" s="10"/>
      <c r="AQ146" s="10"/>
      <c r="AR146" s="10"/>
      <c r="AS146" s="10"/>
      <c r="AT146" s="163">
        <f t="shared" si="43"/>
        <v>201993.22</v>
      </c>
      <c r="AU146" s="2"/>
      <c r="AV146" s="2"/>
      <c r="AW146" s="168">
        <v>8256</v>
      </c>
      <c r="AX146" s="21">
        <f t="shared" si="32"/>
        <v>-16939.804000000004</v>
      </c>
      <c r="AY146" s="26">
        <v>14911.95</v>
      </c>
    </row>
    <row r="147" spans="1:51" ht="15.75">
      <c r="A147" s="1">
        <v>139</v>
      </c>
      <c r="B147" s="1" t="s">
        <v>157</v>
      </c>
      <c r="C147" s="1">
        <v>4496.1</v>
      </c>
      <c r="D147" s="1">
        <v>84.4</v>
      </c>
      <c r="E147" s="1">
        <f t="shared" si="42"/>
        <v>4580.5</v>
      </c>
      <c r="F147" s="2">
        <v>14.32</v>
      </c>
      <c r="G147" s="2">
        <f t="shared" si="33"/>
        <v>65592.76</v>
      </c>
      <c r="H147" s="2">
        <f t="shared" si="39"/>
        <v>393556.55999999994</v>
      </c>
      <c r="I147" s="2">
        <f t="shared" si="44"/>
        <v>14.32</v>
      </c>
      <c r="J147" s="2">
        <f t="shared" si="41"/>
        <v>65592.76</v>
      </c>
      <c r="K147" s="2">
        <f t="shared" si="34"/>
        <v>393556.55999999994</v>
      </c>
      <c r="L147" s="13">
        <f t="shared" si="40"/>
        <v>787113.1199999999</v>
      </c>
      <c r="M147" s="139">
        <v>-449729.57</v>
      </c>
      <c r="N147" s="34">
        <f t="shared" si="35"/>
        <v>337383.5499999999</v>
      </c>
      <c r="O147" s="152">
        <v>0</v>
      </c>
      <c r="P147" s="152">
        <v>31671.6</v>
      </c>
      <c r="Q147" s="1">
        <v>0</v>
      </c>
      <c r="R147" s="1">
        <v>57567.36</v>
      </c>
      <c r="S147" s="1">
        <v>0</v>
      </c>
      <c r="T147" s="1">
        <v>102092.79</v>
      </c>
      <c r="U147" s="33">
        <v>0</v>
      </c>
      <c r="V147" s="33">
        <v>28484.39</v>
      </c>
      <c r="W147" s="1">
        <v>0</v>
      </c>
      <c r="X147" s="1">
        <v>30177.71</v>
      </c>
      <c r="Y147" s="1">
        <v>0</v>
      </c>
      <c r="Z147" s="1">
        <v>85702.09</v>
      </c>
      <c r="AA147" s="33">
        <v>0</v>
      </c>
      <c r="AB147" s="33">
        <v>43414.59</v>
      </c>
      <c r="AC147" s="33">
        <v>0</v>
      </c>
      <c r="AD147" s="33">
        <v>40347.08</v>
      </c>
      <c r="AE147" s="33">
        <v>0</v>
      </c>
      <c r="AF147" s="33">
        <v>44319.39</v>
      </c>
      <c r="AG147" s="1">
        <v>0</v>
      </c>
      <c r="AH147" s="1">
        <v>46220.43</v>
      </c>
      <c r="AI147" s="1">
        <v>0</v>
      </c>
      <c r="AJ147" s="1">
        <v>44399.37</v>
      </c>
      <c r="AK147" s="1">
        <v>0</v>
      </c>
      <c r="AL147" s="1">
        <v>82955.25</v>
      </c>
      <c r="AM147" s="9">
        <f t="shared" si="36"/>
        <v>0</v>
      </c>
      <c r="AN147" s="9">
        <f t="shared" si="37"/>
        <v>637352.05</v>
      </c>
      <c r="AO147" s="248">
        <f t="shared" si="38"/>
        <v>637352.05</v>
      </c>
      <c r="AP147" s="10"/>
      <c r="AQ147" s="10">
        <f>131737.25-20415.71</f>
        <v>111321.54000000001</v>
      </c>
      <c r="AR147" s="10"/>
      <c r="AS147" s="10"/>
      <c r="AT147" s="163">
        <f t="shared" si="43"/>
        <v>748673.5900000001</v>
      </c>
      <c r="AU147" s="2"/>
      <c r="AV147" s="2"/>
      <c r="AW147" s="168"/>
      <c r="AX147" s="21">
        <f t="shared" si="32"/>
        <v>-411290.0400000002</v>
      </c>
      <c r="AY147" s="26">
        <v>548902.24</v>
      </c>
    </row>
    <row r="148" spans="1:51" ht="15.75" customHeight="1">
      <c r="A148" s="1">
        <v>140</v>
      </c>
      <c r="B148" s="1" t="s">
        <v>158</v>
      </c>
      <c r="C148" s="1">
        <v>4434.5</v>
      </c>
      <c r="D148" s="1">
        <v>96.8</v>
      </c>
      <c r="E148" s="1">
        <f t="shared" si="42"/>
        <v>4531.3</v>
      </c>
      <c r="F148" s="2">
        <v>14.32</v>
      </c>
      <c r="G148" s="2">
        <f t="shared" si="33"/>
        <v>64888.216</v>
      </c>
      <c r="H148" s="2">
        <f t="shared" si="39"/>
        <v>389329.296</v>
      </c>
      <c r="I148" s="2">
        <f t="shared" si="44"/>
        <v>14.32</v>
      </c>
      <c r="J148" s="2">
        <f t="shared" si="41"/>
        <v>64888.216</v>
      </c>
      <c r="K148" s="2">
        <f t="shared" si="34"/>
        <v>389329.296</v>
      </c>
      <c r="L148" s="13">
        <f t="shared" si="40"/>
        <v>778658.592</v>
      </c>
      <c r="M148" s="139"/>
      <c r="N148" s="34">
        <f t="shared" si="35"/>
        <v>778658.592</v>
      </c>
      <c r="O148" s="152">
        <v>0</v>
      </c>
      <c r="P148" s="152">
        <v>40432.94</v>
      </c>
      <c r="Q148" s="1">
        <v>0</v>
      </c>
      <c r="R148" s="1">
        <v>31099.52</v>
      </c>
      <c r="S148" s="1">
        <v>0</v>
      </c>
      <c r="T148" s="1">
        <v>86711.33</v>
      </c>
      <c r="U148" s="33">
        <v>0</v>
      </c>
      <c r="V148" s="33">
        <v>35777.69</v>
      </c>
      <c r="W148" s="1">
        <v>0</v>
      </c>
      <c r="X148" s="1">
        <v>32493.63</v>
      </c>
      <c r="Y148" s="1">
        <v>0</v>
      </c>
      <c r="Z148" s="1">
        <v>40978.82</v>
      </c>
      <c r="AA148" s="33">
        <v>0</v>
      </c>
      <c r="AB148" s="33">
        <v>55321.83</v>
      </c>
      <c r="AC148" s="33">
        <v>0</v>
      </c>
      <c r="AD148" s="33">
        <v>83973.03</v>
      </c>
      <c r="AE148" s="33">
        <v>0</v>
      </c>
      <c r="AF148" s="33">
        <v>70426.1</v>
      </c>
      <c r="AG148" s="1">
        <v>0</v>
      </c>
      <c r="AH148" s="1">
        <v>93134.87</v>
      </c>
      <c r="AI148" s="1">
        <v>0</v>
      </c>
      <c r="AJ148" s="1">
        <v>91731.77</v>
      </c>
      <c r="AK148" s="1">
        <v>0</v>
      </c>
      <c r="AL148" s="1">
        <v>33213.19</v>
      </c>
      <c r="AM148" s="9">
        <f t="shared" si="36"/>
        <v>0</v>
      </c>
      <c r="AN148" s="9">
        <f t="shared" si="37"/>
        <v>695294.72</v>
      </c>
      <c r="AO148" s="248">
        <f t="shared" si="38"/>
        <v>695294.72</v>
      </c>
      <c r="AP148" s="10"/>
      <c r="AQ148" s="10"/>
      <c r="AR148" s="10"/>
      <c r="AS148" s="10"/>
      <c r="AT148" s="163">
        <f t="shared" si="43"/>
        <v>695294.72</v>
      </c>
      <c r="AU148" s="2"/>
      <c r="AV148" s="2"/>
      <c r="AW148" s="168">
        <v>16244</v>
      </c>
      <c r="AX148" s="21">
        <f t="shared" si="32"/>
        <v>99607.87199999997</v>
      </c>
      <c r="AY148" s="26">
        <v>266568.91</v>
      </c>
    </row>
    <row r="149" spans="1:51" ht="15.75" customHeight="1">
      <c r="A149" s="1">
        <v>141</v>
      </c>
      <c r="B149" s="1" t="s">
        <v>159</v>
      </c>
      <c r="C149" s="1">
        <v>5245.2</v>
      </c>
      <c r="D149" s="1">
        <v>0</v>
      </c>
      <c r="E149" s="1">
        <f t="shared" si="42"/>
        <v>5245.2</v>
      </c>
      <c r="F149" s="2">
        <v>14.57</v>
      </c>
      <c r="G149" s="2">
        <f t="shared" si="33"/>
        <v>76422.564</v>
      </c>
      <c r="H149" s="2">
        <f t="shared" si="39"/>
        <v>458535.38399999996</v>
      </c>
      <c r="I149" s="2">
        <f t="shared" si="44"/>
        <v>14.57</v>
      </c>
      <c r="J149" s="2">
        <f t="shared" si="41"/>
        <v>76422.564</v>
      </c>
      <c r="K149" s="2">
        <f t="shared" si="34"/>
        <v>458535.38399999996</v>
      </c>
      <c r="L149" s="13">
        <f t="shared" si="40"/>
        <v>917070.7679999999</v>
      </c>
      <c r="M149" s="139"/>
      <c r="N149" s="34">
        <f t="shared" si="35"/>
        <v>917070.7679999999</v>
      </c>
      <c r="O149" s="152">
        <v>0</v>
      </c>
      <c r="P149" s="152">
        <v>59780.73</v>
      </c>
      <c r="Q149" s="1">
        <v>0</v>
      </c>
      <c r="R149" s="1">
        <v>31373.52</v>
      </c>
      <c r="S149" s="1">
        <v>0</v>
      </c>
      <c r="T149" s="1">
        <v>161356.02</v>
      </c>
      <c r="U149" s="33">
        <v>0</v>
      </c>
      <c r="V149" s="33">
        <v>34400.88</v>
      </c>
      <c r="W149" s="1">
        <v>0</v>
      </c>
      <c r="X149" s="1">
        <v>41361.7</v>
      </c>
      <c r="Y149" s="1">
        <v>0</v>
      </c>
      <c r="Z149" s="1">
        <v>82022.01</v>
      </c>
      <c r="AA149" s="33">
        <v>0</v>
      </c>
      <c r="AB149" s="33">
        <v>35906.81</v>
      </c>
      <c r="AC149" s="33">
        <v>0</v>
      </c>
      <c r="AD149" s="33">
        <v>87977.33</v>
      </c>
      <c r="AE149" s="33">
        <v>0</v>
      </c>
      <c r="AF149" s="33">
        <v>122435.05</v>
      </c>
      <c r="AG149" s="1">
        <v>0</v>
      </c>
      <c r="AH149" s="1">
        <v>31151.45</v>
      </c>
      <c r="AI149" s="1">
        <v>0</v>
      </c>
      <c r="AJ149" s="1">
        <v>27898.3</v>
      </c>
      <c r="AK149" s="1">
        <v>0</v>
      </c>
      <c r="AL149" s="1">
        <v>70021.99</v>
      </c>
      <c r="AM149" s="9">
        <f t="shared" si="36"/>
        <v>0</v>
      </c>
      <c r="AN149" s="9">
        <f t="shared" si="37"/>
        <v>785685.79</v>
      </c>
      <c r="AO149" s="248">
        <f t="shared" si="38"/>
        <v>785685.79</v>
      </c>
      <c r="AP149" s="10"/>
      <c r="AQ149" s="10">
        <f>208434.25-27757.42</f>
        <v>180676.83000000002</v>
      </c>
      <c r="AR149" s="10"/>
      <c r="AS149" s="10"/>
      <c r="AT149" s="163">
        <f t="shared" si="43"/>
        <v>966362.6200000001</v>
      </c>
      <c r="AU149" s="2"/>
      <c r="AV149" s="2"/>
      <c r="AW149" s="168"/>
      <c r="AX149" s="21">
        <f t="shared" si="32"/>
        <v>-49291.85200000019</v>
      </c>
      <c r="AY149" s="26">
        <v>535182.3</v>
      </c>
    </row>
    <row r="150" spans="1:51" ht="15.75" customHeight="1">
      <c r="A150" s="1">
        <v>142</v>
      </c>
      <c r="B150" s="1" t="s">
        <v>160</v>
      </c>
      <c r="C150" s="1">
        <v>2520.96</v>
      </c>
      <c r="D150" s="1">
        <v>0</v>
      </c>
      <c r="E150" s="1">
        <f t="shared" si="42"/>
        <v>2520.96</v>
      </c>
      <c r="F150" s="2">
        <v>14.87</v>
      </c>
      <c r="G150" s="2">
        <f t="shared" si="33"/>
        <v>37486.6752</v>
      </c>
      <c r="H150" s="2">
        <f t="shared" si="39"/>
        <v>224920.0512</v>
      </c>
      <c r="I150" s="2">
        <f t="shared" si="44"/>
        <v>14.87</v>
      </c>
      <c r="J150" s="2">
        <f t="shared" si="41"/>
        <v>37486.6752</v>
      </c>
      <c r="K150" s="2">
        <f t="shared" si="34"/>
        <v>224920.0512</v>
      </c>
      <c r="L150" s="13">
        <f t="shared" si="40"/>
        <v>449840.1024</v>
      </c>
      <c r="M150" s="139"/>
      <c r="N150" s="34">
        <f t="shared" si="35"/>
        <v>449840.1024</v>
      </c>
      <c r="O150" s="152">
        <v>0</v>
      </c>
      <c r="P150" s="152">
        <v>6478.87</v>
      </c>
      <c r="Q150" s="1">
        <v>0</v>
      </c>
      <c r="R150" s="1">
        <v>8424.59</v>
      </c>
      <c r="S150" s="1">
        <v>0</v>
      </c>
      <c r="T150" s="1">
        <v>8478.64</v>
      </c>
      <c r="U150" s="33">
        <v>0</v>
      </c>
      <c r="V150" s="33">
        <v>7638.87</v>
      </c>
      <c r="W150" s="1">
        <v>0</v>
      </c>
      <c r="X150" s="1">
        <v>6478.87</v>
      </c>
      <c r="Y150" s="1">
        <v>0</v>
      </c>
      <c r="Z150" s="1">
        <v>6478.87</v>
      </c>
      <c r="AA150" s="33">
        <v>0</v>
      </c>
      <c r="AB150" s="33">
        <v>6478.87</v>
      </c>
      <c r="AC150" s="33">
        <v>0</v>
      </c>
      <c r="AD150" s="33">
        <v>8964.69</v>
      </c>
      <c r="AE150" s="33">
        <v>0</v>
      </c>
      <c r="AF150" s="33">
        <v>6478.87</v>
      </c>
      <c r="AG150" s="1">
        <v>0</v>
      </c>
      <c r="AH150" s="1">
        <v>7639.28</v>
      </c>
      <c r="AI150" s="1">
        <v>0</v>
      </c>
      <c r="AJ150" s="1">
        <v>6478.87</v>
      </c>
      <c r="AK150" s="1">
        <v>0</v>
      </c>
      <c r="AL150" s="1">
        <v>7293.44</v>
      </c>
      <c r="AM150" s="9">
        <f t="shared" si="36"/>
        <v>0</v>
      </c>
      <c r="AN150" s="9">
        <f t="shared" si="37"/>
        <v>87312.73</v>
      </c>
      <c r="AO150" s="248">
        <f t="shared" si="38"/>
        <v>87312.73</v>
      </c>
      <c r="AP150" s="10"/>
      <c r="AQ150" s="10"/>
      <c r="AR150" s="10">
        <v>1285.23</v>
      </c>
      <c r="AS150" s="10"/>
      <c r="AT150" s="163">
        <f t="shared" si="43"/>
        <v>88597.95999999999</v>
      </c>
      <c r="AU150" s="2"/>
      <c r="AV150" s="2"/>
      <c r="AW150" s="168">
        <v>4128</v>
      </c>
      <c r="AX150" s="21">
        <f t="shared" si="32"/>
        <v>365370.1424</v>
      </c>
      <c r="AY150" s="26">
        <v>151754.5</v>
      </c>
    </row>
    <row r="151" spans="1:51" ht="15.75">
      <c r="A151" s="1">
        <v>143</v>
      </c>
      <c r="B151" s="1" t="s">
        <v>161</v>
      </c>
      <c r="C151" s="1">
        <v>6040.8</v>
      </c>
      <c r="D151" s="1">
        <v>0</v>
      </c>
      <c r="E151" s="1">
        <f t="shared" si="42"/>
        <v>6040.8</v>
      </c>
      <c r="F151" s="2">
        <v>14.97</v>
      </c>
      <c r="G151" s="2">
        <f t="shared" si="33"/>
        <v>90430.77600000001</v>
      </c>
      <c r="H151" s="2">
        <f t="shared" si="39"/>
        <v>542584.6560000001</v>
      </c>
      <c r="I151" s="2">
        <f t="shared" si="44"/>
        <v>14.97</v>
      </c>
      <c r="J151" s="2">
        <f t="shared" si="41"/>
        <v>90430.77600000001</v>
      </c>
      <c r="K151" s="2">
        <f t="shared" si="34"/>
        <v>542584.6560000001</v>
      </c>
      <c r="L151" s="13">
        <f t="shared" si="40"/>
        <v>1085169.3120000002</v>
      </c>
      <c r="M151" s="139"/>
      <c r="N151" s="34">
        <f t="shared" si="35"/>
        <v>1085169.3120000002</v>
      </c>
      <c r="O151" s="152">
        <v>25231.4</v>
      </c>
      <c r="P151" s="152">
        <v>22516.21</v>
      </c>
      <c r="Q151" s="1">
        <v>12116.09</v>
      </c>
      <c r="R151" s="1">
        <v>17088.05</v>
      </c>
      <c r="S151" s="1">
        <v>172263.17</v>
      </c>
      <c r="T151" s="1">
        <v>15754.86</v>
      </c>
      <c r="U151" s="33">
        <v>11115.07</v>
      </c>
      <c r="V151" s="33">
        <v>52467.69</v>
      </c>
      <c r="W151" s="1">
        <v>35742.49</v>
      </c>
      <c r="X151" s="1">
        <v>18383.6</v>
      </c>
      <c r="Y151" s="1">
        <v>54514.55</v>
      </c>
      <c r="Z151" s="1">
        <v>30426.69</v>
      </c>
      <c r="AA151" s="33">
        <v>23977.44</v>
      </c>
      <c r="AB151" s="33">
        <v>15754.86</v>
      </c>
      <c r="AC151" s="33">
        <v>27364.69</v>
      </c>
      <c r="AD151" s="33">
        <v>26310</v>
      </c>
      <c r="AE151" s="33">
        <v>23679.94</v>
      </c>
      <c r="AF151" s="33">
        <v>23009.55</v>
      </c>
      <c r="AG151" s="1">
        <v>13778.97</v>
      </c>
      <c r="AH151" s="1">
        <v>16915.27</v>
      </c>
      <c r="AI151" s="1">
        <v>21250.71</v>
      </c>
      <c r="AJ151" s="1">
        <v>15754.86</v>
      </c>
      <c r="AK151" s="1">
        <v>19295.14</v>
      </c>
      <c r="AL151" s="1">
        <v>31784.02</v>
      </c>
      <c r="AM151" s="9">
        <f t="shared" si="36"/>
        <v>440329.66000000003</v>
      </c>
      <c r="AN151" s="9">
        <f t="shared" si="37"/>
        <v>286165.66000000003</v>
      </c>
      <c r="AO151" s="248">
        <f t="shared" si="38"/>
        <v>726495.3200000001</v>
      </c>
      <c r="AP151" s="19"/>
      <c r="AQ151" s="10"/>
      <c r="AR151" s="10"/>
      <c r="AS151" s="10">
        <v>1000</v>
      </c>
      <c r="AT151" s="163">
        <f t="shared" si="43"/>
        <v>727495.3200000001</v>
      </c>
      <c r="AU151" s="2"/>
      <c r="AV151" s="2"/>
      <c r="AW151" s="168"/>
      <c r="AX151" s="21">
        <f t="shared" si="32"/>
        <v>357673.9920000001</v>
      </c>
      <c r="AY151" s="26">
        <v>320435.36</v>
      </c>
    </row>
    <row r="152" spans="1:51" ht="19.5" customHeight="1">
      <c r="A152" s="1">
        <v>144</v>
      </c>
      <c r="B152" s="1" t="s">
        <v>162</v>
      </c>
      <c r="C152" s="1">
        <v>495</v>
      </c>
      <c r="D152" s="1">
        <v>115.3</v>
      </c>
      <c r="E152" s="1">
        <f t="shared" si="42"/>
        <v>610.3</v>
      </c>
      <c r="F152" s="2">
        <v>13.11</v>
      </c>
      <c r="G152" s="2">
        <f t="shared" si="33"/>
        <v>8001.032999999999</v>
      </c>
      <c r="H152" s="2">
        <f t="shared" si="39"/>
        <v>48006.198</v>
      </c>
      <c r="I152" s="2">
        <f t="shared" si="44"/>
        <v>13.11</v>
      </c>
      <c r="J152" s="2">
        <f t="shared" si="41"/>
        <v>8001.032999999999</v>
      </c>
      <c r="K152" s="2">
        <f t="shared" si="34"/>
        <v>48006.198</v>
      </c>
      <c r="L152" s="13">
        <f t="shared" si="40"/>
        <v>96012.396</v>
      </c>
      <c r="M152" s="139">
        <v>-3248.43</v>
      </c>
      <c r="N152" s="34">
        <f t="shared" si="35"/>
        <v>92763.966</v>
      </c>
      <c r="O152" s="152">
        <v>0</v>
      </c>
      <c r="P152" s="152">
        <v>41909.23</v>
      </c>
      <c r="Q152" s="1">
        <v>3894</v>
      </c>
      <c r="R152" s="1">
        <v>1798.47</v>
      </c>
      <c r="S152" s="1">
        <v>0</v>
      </c>
      <c r="T152" s="1">
        <v>1798.47</v>
      </c>
      <c r="U152" s="33">
        <v>0</v>
      </c>
      <c r="V152" s="33">
        <v>2378.47</v>
      </c>
      <c r="W152" s="1">
        <v>7979.35</v>
      </c>
      <c r="X152" s="1">
        <v>1798.47</v>
      </c>
      <c r="Y152" s="1">
        <v>0</v>
      </c>
      <c r="Z152" s="1">
        <v>1798.47</v>
      </c>
      <c r="AA152" s="33">
        <v>0</v>
      </c>
      <c r="AB152" s="33">
        <v>1798.47</v>
      </c>
      <c r="AC152" s="33">
        <v>0</v>
      </c>
      <c r="AD152" s="33">
        <v>1798.47</v>
      </c>
      <c r="AE152" s="33">
        <v>772.62</v>
      </c>
      <c r="AF152" s="33">
        <v>1798.47</v>
      </c>
      <c r="AG152" s="1">
        <v>39331.85</v>
      </c>
      <c r="AH152" s="1">
        <v>2958.88</v>
      </c>
      <c r="AI152" s="1">
        <v>14106.14</v>
      </c>
      <c r="AJ152" s="1">
        <v>1798.47</v>
      </c>
      <c r="AK152" s="1">
        <v>70898.99</v>
      </c>
      <c r="AL152" s="1">
        <v>32428.99</v>
      </c>
      <c r="AM152" s="9">
        <f t="shared" si="36"/>
        <v>136982.95</v>
      </c>
      <c r="AN152" s="9">
        <f t="shared" si="37"/>
        <v>94063.33000000002</v>
      </c>
      <c r="AO152" s="248">
        <f t="shared" si="38"/>
        <v>231046.28000000003</v>
      </c>
      <c r="AP152" s="10"/>
      <c r="AQ152" s="10"/>
      <c r="AR152" s="10"/>
      <c r="AS152" s="10"/>
      <c r="AT152" s="163">
        <f t="shared" si="43"/>
        <v>231046.28000000003</v>
      </c>
      <c r="AU152" s="2"/>
      <c r="AV152" s="2">
        <f>E152*0.65+(E152*0.69)*3</f>
        <v>1660.0159999999996</v>
      </c>
      <c r="AW152" s="168"/>
      <c r="AX152" s="21">
        <f t="shared" si="32"/>
        <v>-136622.298</v>
      </c>
      <c r="AY152" s="26">
        <v>57109.83</v>
      </c>
    </row>
    <row r="153" spans="1:51" ht="15.75" customHeight="1">
      <c r="A153" s="1">
        <v>145</v>
      </c>
      <c r="B153" s="1" t="s">
        <v>163</v>
      </c>
      <c r="C153" s="1">
        <v>473.8</v>
      </c>
      <c r="D153" s="1">
        <v>0</v>
      </c>
      <c r="E153" s="1">
        <f t="shared" si="42"/>
        <v>473.8</v>
      </c>
      <c r="F153" s="2">
        <v>13.11</v>
      </c>
      <c r="G153" s="2">
        <f t="shared" si="33"/>
        <v>6211.518</v>
      </c>
      <c r="H153" s="2">
        <f t="shared" si="39"/>
        <v>37269.108</v>
      </c>
      <c r="I153" s="2">
        <f t="shared" si="44"/>
        <v>13.11</v>
      </c>
      <c r="J153" s="2">
        <f t="shared" si="41"/>
        <v>6211.518</v>
      </c>
      <c r="K153" s="2">
        <f t="shared" si="34"/>
        <v>37269.108</v>
      </c>
      <c r="L153" s="13">
        <f t="shared" si="40"/>
        <v>74538.216</v>
      </c>
      <c r="M153" s="139"/>
      <c r="N153" s="34">
        <f t="shared" si="35"/>
        <v>74538.216</v>
      </c>
      <c r="O153" s="152">
        <v>804.78</v>
      </c>
      <c r="P153" s="152">
        <v>1446.64</v>
      </c>
      <c r="Q153" s="1">
        <v>804.78</v>
      </c>
      <c r="R153" s="1">
        <v>1446.64</v>
      </c>
      <c r="S153" s="1">
        <v>804.78</v>
      </c>
      <c r="T153" s="1">
        <v>1446.64</v>
      </c>
      <c r="U153" s="33">
        <v>804.78</v>
      </c>
      <c r="V153" s="33">
        <v>2026.64</v>
      </c>
      <c r="W153" s="1">
        <v>1495.94</v>
      </c>
      <c r="X153" s="1">
        <v>1446.64</v>
      </c>
      <c r="Y153" s="1">
        <v>1495.94</v>
      </c>
      <c r="Z153" s="1">
        <v>1446.64</v>
      </c>
      <c r="AA153" s="33">
        <v>1495.94</v>
      </c>
      <c r="AB153" s="33">
        <v>1446.64</v>
      </c>
      <c r="AC153" s="33">
        <v>34895.94</v>
      </c>
      <c r="AD153" s="33">
        <v>1446.64</v>
      </c>
      <c r="AE153" s="33">
        <v>1495.94</v>
      </c>
      <c r="AF153" s="33">
        <v>1446.64</v>
      </c>
      <c r="AG153" s="1">
        <v>4208.56</v>
      </c>
      <c r="AH153" s="1">
        <v>2607.05</v>
      </c>
      <c r="AI153" s="1">
        <v>8001.76</v>
      </c>
      <c r="AJ153" s="1">
        <v>1446.64</v>
      </c>
      <c r="AK153" s="1">
        <v>63707.77</v>
      </c>
      <c r="AL153" s="1">
        <v>1446.64</v>
      </c>
      <c r="AM153" s="9">
        <f t="shared" si="36"/>
        <v>120016.91</v>
      </c>
      <c r="AN153" s="9">
        <f t="shared" si="37"/>
        <v>19100.089999999997</v>
      </c>
      <c r="AO153" s="248">
        <f t="shared" si="38"/>
        <v>139117</v>
      </c>
      <c r="AP153" s="10"/>
      <c r="AQ153" s="10"/>
      <c r="AR153" s="10"/>
      <c r="AS153" s="10"/>
      <c r="AT153" s="163">
        <f t="shared" si="43"/>
        <v>139117</v>
      </c>
      <c r="AU153" s="2"/>
      <c r="AV153" s="2">
        <f>E153*0.65+(E153*0.69)*3</f>
        <v>1288.7359999999999</v>
      </c>
      <c r="AW153" s="168"/>
      <c r="AX153" s="21">
        <f t="shared" si="32"/>
        <v>-63290.048</v>
      </c>
      <c r="AY153" s="26">
        <v>7734.05</v>
      </c>
    </row>
    <row r="154" spans="1:51" ht="15.75" customHeight="1">
      <c r="A154" s="1">
        <v>146</v>
      </c>
      <c r="B154" s="1" t="s">
        <v>164</v>
      </c>
      <c r="C154" s="1">
        <v>2768.4</v>
      </c>
      <c r="D154" s="1">
        <v>800.1</v>
      </c>
      <c r="E154" s="1">
        <f t="shared" si="42"/>
        <v>3568.5</v>
      </c>
      <c r="F154" s="2">
        <v>13.74</v>
      </c>
      <c r="G154" s="2">
        <f t="shared" si="33"/>
        <v>49031.19</v>
      </c>
      <c r="H154" s="2">
        <f t="shared" si="39"/>
        <v>294187.14</v>
      </c>
      <c r="I154" s="2">
        <f t="shared" si="44"/>
        <v>13.74</v>
      </c>
      <c r="J154" s="2">
        <f t="shared" si="41"/>
        <v>49031.19</v>
      </c>
      <c r="K154" s="2">
        <f t="shared" si="34"/>
        <v>294187.14</v>
      </c>
      <c r="L154" s="13">
        <f t="shared" si="40"/>
        <v>588374.28</v>
      </c>
      <c r="M154" s="139"/>
      <c r="N154" s="34">
        <f t="shared" si="35"/>
        <v>588374.28</v>
      </c>
      <c r="O154" s="152">
        <v>0</v>
      </c>
      <c r="P154" s="152">
        <v>30332.34</v>
      </c>
      <c r="Q154" s="1">
        <v>0</v>
      </c>
      <c r="R154" s="1">
        <v>42377.83</v>
      </c>
      <c r="S154" s="1">
        <v>0</v>
      </c>
      <c r="T154" s="1">
        <v>17395.93</v>
      </c>
      <c r="U154" s="33">
        <v>0</v>
      </c>
      <c r="V154" s="33">
        <v>43152.39</v>
      </c>
      <c r="W154" s="1">
        <v>0</v>
      </c>
      <c r="X154" s="1">
        <v>24044.76</v>
      </c>
      <c r="Y154" s="1">
        <v>0</v>
      </c>
      <c r="Z154" s="1">
        <v>130333.97</v>
      </c>
      <c r="AA154" s="33">
        <v>0</v>
      </c>
      <c r="AB154" s="33">
        <v>30286.3</v>
      </c>
      <c r="AC154" s="33">
        <v>0</v>
      </c>
      <c r="AD154" s="33">
        <v>26989.86</v>
      </c>
      <c r="AE154" s="33">
        <v>0</v>
      </c>
      <c r="AF154" s="33">
        <v>24114.54</v>
      </c>
      <c r="AG154" s="1">
        <v>0</v>
      </c>
      <c r="AH154" s="1">
        <v>20488.02</v>
      </c>
      <c r="AI154" s="1">
        <v>0</v>
      </c>
      <c r="AJ154" s="1">
        <v>16845.08</v>
      </c>
      <c r="AK154" s="1">
        <v>0</v>
      </c>
      <c r="AL154" s="1">
        <v>17029.13</v>
      </c>
      <c r="AM154" s="9">
        <f t="shared" si="36"/>
        <v>0</v>
      </c>
      <c r="AN154" s="9">
        <f t="shared" si="37"/>
        <v>423390.14999999997</v>
      </c>
      <c r="AO154" s="248">
        <f t="shared" si="38"/>
        <v>423390.14999999997</v>
      </c>
      <c r="AP154" s="10"/>
      <c r="AQ154" s="10"/>
      <c r="AR154" s="10"/>
      <c r="AS154" s="10"/>
      <c r="AT154" s="163">
        <f t="shared" si="43"/>
        <v>423390.14999999997</v>
      </c>
      <c r="AU154" s="2"/>
      <c r="AV154" s="2"/>
      <c r="AW154" s="168">
        <v>4128</v>
      </c>
      <c r="AX154" s="21">
        <f t="shared" si="32"/>
        <v>169112.13000000006</v>
      </c>
      <c r="AY154" s="26">
        <f>232795.36+12571.05</f>
        <v>245366.40999999997</v>
      </c>
    </row>
    <row r="155" spans="1:51" ht="15.75" customHeight="1">
      <c r="A155" s="1">
        <v>147</v>
      </c>
      <c r="B155" s="1" t="s">
        <v>165</v>
      </c>
      <c r="C155" s="1">
        <v>402.2</v>
      </c>
      <c r="D155" s="1">
        <v>0</v>
      </c>
      <c r="E155" s="1">
        <f t="shared" si="42"/>
        <v>402.2</v>
      </c>
      <c r="F155" s="2">
        <v>13.11</v>
      </c>
      <c r="G155" s="2">
        <f t="shared" si="33"/>
        <v>5272.842</v>
      </c>
      <c r="H155" s="2">
        <f t="shared" si="39"/>
        <v>31637.051999999996</v>
      </c>
      <c r="I155" s="2">
        <f t="shared" si="44"/>
        <v>13.11</v>
      </c>
      <c r="J155" s="2">
        <f t="shared" si="41"/>
        <v>5272.842</v>
      </c>
      <c r="K155" s="2">
        <f t="shared" si="34"/>
        <v>31637.051999999996</v>
      </c>
      <c r="L155" s="13">
        <f t="shared" si="40"/>
        <v>63274.10399999999</v>
      </c>
      <c r="M155" s="139"/>
      <c r="N155" s="34">
        <f t="shared" si="35"/>
        <v>63274.10399999999</v>
      </c>
      <c r="O155" s="152">
        <v>0</v>
      </c>
      <c r="P155" s="152">
        <v>1717.39</v>
      </c>
      <c r="Q155" s="1">
        <v>0</v>
      </c>
      <c r="R155" s="1">
        <v>2201.15</v>
      </c>
      <c r="S155" s="1">
        <v>0</v>
      </c>
      <c r="T155" s="1">
        <v>3978.25</v>
      </c>
      <c r="U155" s="33">
        <v>0</v>
      </c>
      <c r="V155" s="33">
        <v>70443.14</v>
      </c>
      <c r="W155" s="1">
        <v>0</v>
      </c>
      <c r="X155" s="1">
        <v>7787.72</v>
      </c>
      <c r="Y155" s="1">
        <v>0</v>
      </c>
      <c r="Z155" s="1">
        <v>2304.61</v>
      </c>
      <c r="AA155" s="33">
        <v>0</v>
      </c>
      <c r="AB155" s="33">
        <v>2763.11</v>
      </c>
      <c r="AC155" s="33">
        <v>0</v>
      </c>
      <c r="AD155" s="33">
        <v>2304.61</v>
      </c>
      <c r="AE155" s="33">
        <v>0</v>
      </c>
      <c r="AF155" s="33">
        <v>18120.72</v>
      </c>
      <c r="AG155" s="1">
        <v>0</v>
      </c>
      <c r="AH155" s="1">
        <v>47265.8</v>
      </c>
      <c r="AI155" s="1">
        <v>0</v>
      </c>
      <c r="AJ155" s="1">
        <v>2696.19</v>
      </c>
      <c r="AK155" s="1">
        <v>0</v>
      </c>
      <c r="AL155" s="1">
        <v>1283.9</v>
      </c>
      <c r="AM155" s="9">
        <f t="shared" si="36"/>
        <v>0</v>
      </c>
      <c r="AN155" s="9">
        <f t="shared" si="37"/>
        <v>162866.59</v>
      </c>
      <c r="AO155" s="248">
        <f t="shared" si="38"/>
        <v>162866.59</v>
      </c>
      <c r="AP155" s="10"/>
      <c r="AQ155" s="10"/>
      <c r="AR155" s="10"/>
      <c r="AS155" s="10"/>
      <c r="AT155" s="163">
        <f t="shared" si="43"/>
        <v>162866.59</v>
      </c>
      <c r="AU155" s="2"/>
      <c r="AV155" s="2"/>
      <c r="AW155" s="168">
        <v>13836</v>
      </c>
      <c r="AX155" s="21">
        <f t="shared" si="32"/>
        <v>-85756.486</v>
      </c>
      <c r="AY155" s="26">
        <v>13875.43</v>
      </c>
    </row>
    <row r="156" spans="1:51" ht="15.75" customHeight="1">
      <c r="A156" s="1">
        <v>148</v>
      </c>
      <c r="B156" s="1" t="s">
        <v>166</v>
      </c>
      <c r="C156" s="1">
        <v>3974.5</v>
      </c>
      <c r="D156" s="1">
        <v>824.9</v>
      </c>
      <c r="E156" s="1">
        <f t="shared" si="42"/>
        <v>4799.4</v>
      </c>
      <c r="F156" s="2">
        <v>14.36</v>
      </c>
      <c r="G156" s="2">
        <f t="shared" si="33"/>
        <v>68919.38399999999</v>
      </c>
      <c r="H156" s="2">
        <f t="shared" si="39"/>
        <v>413516.30399999995</v>
      </c>
      <c r="I156" s="2">
        <f t="shared" si="44"/>
        <v>14.36</v>
      </c>
      <c r="J156" s="2">
        <f t="shared" si="41"/>
        <v>68919.38399999999</v>
      </c>
      <c r="K156" s="2">
        <f t="shared" si="34"/>
        <v>413516.30399999995</v>
      </c>
      <c r="L156" s="13">
        <f t="shared" si="40"/>
        <v>827032.6079999999</v>
      </c>
      <c r="M156" s="139">
        <v>-276622.52</v>
      </c>
      <c r="N156" s="34">
        <f t="shared" si="35"/>
        <v>550410.0879999999</v>
      </c>
      <c r="O156" s="152">
        <v>0</v>
      </c>
      <c r="P156" s="152">
        <v>32663.6</v>
      </c>
      <c r="Q156" s="1">
        <v>0</v>
      </c>
      <c r="R156" s="1">
        <v>85436.7</v>
      </c>
      <c r="S156" s="1">
        <v>0</v>
      </c>
      <c r="T156" s="1">
        <v>60118.46</v>
      </c>
      <c r="U156" s="33">
        <v>0</v>
      </c>
      <c r="V156" s="33">
        <v>34447.21</v>
      </c>
      <c r="W156" s="1">
        <v>0</v>
      </c>
      <c r="X156" s="1">
        <v>46614.76</v>
      </c>
      <c r="Y156" s="1">
        <v>0</v>
      </c>
      <c r="Z156" s="1">
        <v>52814.42</v>
      </c>
      <c r="AA156" s="33">
        <v>0</v>
      </c>
      <c r="AB156" s="33">
        <v>61603.63</v>
      </c>
      <c r="AC156" s="33">
        <v>0</v>
      </c>
      <c r="AD156" s="33">
        <v>34136.1</v>
      </c>
      <c r="AE156" s="33">
        <v>0</v>
      </c>
      <c r="AF156" s="33">
        <v>32728.66</v>
      </c>
      <c r="AG156" s="1">
        <v>0</v>
      </c>
      <c r="AH156" s="1">
        <v>50812.69</v>
      </c>
      <c r="AI156" s="1">
        <v>0</v>
      </c>
      <c r="AJ156" s="1">
        <v>35127.35</v>
      </c>
      <c r="AK156" s="1">
        <v>0</v>
      </c>
      <c r="AL156" s="1">
        <v>54505.2</v>
      </c>
      <c r="AM156" s="9">
        <f t="shared" si="36"/>
        <v>0</v>
      </c>
      <c r="AN156" s="9">
        <f t="shared" si="37"/>
        <v>581008.7799999999</v>
      </c>
      <c r="AO156" s="248">
        <f t="shared" si="38"/>
        <v>581008.7799999999</v>
      </c>
      <c r="AP156" s="10"/>
      <c r="AQ156" s="10"/>
      <c r="AR156" s="10"/>
      <c r="AS156" s="10"/>
      <c r="AT156" s="163">
        <f t="shared" si="43"/>
        <v>581008.7799999999</v>
      </c>
      <c r="AU156" s="2"/>
      <c r="AV156" s="2"/>
      <c r="AW156" s="168"/>
      <c r="AX156" s="21">
        <f t="shared" si="32"/>
        <v>-30598.69200000004</v>
      </c>
      <c r="AY156" s="26">
        <v>431792.61</v>
      </c>
    </row>
    <row r="157" spans="1:51" ht="15.75" customHeight="1">
      <c r="A157" s="1">
        <v>149</v>
      </c>
      <c r="B157" s="1" t="s">
        <v>167</v>
      </c>
      <c r="C157" s="1">
        <v>504.9</v>
      </c>
      <c r="D157" s="1">
        <v>284.8</v>
      </c>
      <c r="E157" s="1">
        <f t="shared" si="42"/>
        <v>789.7</v>
      </c>
      <c r="F157" s="2">
        <v>9.16</v>
      </c>
      <c r="G157" s="2">
        <f t="shared" si="33"/>
        <v>7233.652000000001</v>
      </c>
      <c r="H157" s="2">
        <f t="shared" si="39"/>
        <v>43401.912000000004</v>
      </c>
      <c r="I157" s="2">
        <f t="shared" si="44"/>
        <v>9.16</v>
      </c>
      <c r="J157" s="2">
        <f t="shared" si="41"/>
        <v>7233.652000000001</v>
      </c>
      <c r="K157" s="2">
        <f t="shared" si="34"/>
        <v>43401.912000000004</v>
      </c>
      <c r="L157" s="13">
        <f t="shared" si="40"/>
        <v>86803.82400000001</v>
      </c>
      <c r="M157" s="139"/>
      <c r="N157" s="34">
        <f t="shared" si="35"/>
        <v>86803.82400000001</v>
      </c>
      <c r="O157" s="152">
        <v>0</v>
      </c>
      <c r="P157" s="152">
        <v>2029.53</v>
      </c>
      <c r="Q157" s="1">
        <v>0</v>
      </c>
      <c r="R157" s="1">
        <v>44905.53</v>
      </c>
      <c r="S157" s="1">
        <v>0</v>
      </c>
      <c r="T157" s="1">
        <v>2029.53</v>
      </c>
      <c r="U157" s="33">
        <v>0</v>
      </c>
      <c r="V157" s="33">
        <v>2609.53</v>
      </c>
      <c r="W157" s="1">
        <v>0</v>
      </c>
      <c r="X157" s="1">
        <v>2029.53</v>
      </c>
      <c r="Y157" s="1">
        <v>0</v>
      </c>
      <c r="Z157" s="1">
        <v>2029.53</v>
      </c>
      <c r="AA157" s="33">
        <v>0</v>
      </c>
      <c r="AB157" s="33">
        <v>2029.53</v>
      </c>
      <c r="AC157" s="33">
        <v>0</v>
      </c>
      <c r="AD157" s="33">
        <v>2029.53</v>
      </c>
      <c r="AE157" s="33">
        <v>0</v>
      </c>
      <c r="AF157" s="33">
        <v>4515.35</v>
      </c>
      <c r="AG157" s="1">
        <v>0</v>
      </c>
      <c r="AH157" s="1">
        <v>3189.94</v>
      </c>
      <c r="AI157" s="1">
        <v>0</v>
      </c>
      <c r="AJ157" s="1">
        <v>2029.53</v>
      </c>
      <c r="AK157" s="1">
        <v>0</v>
      </c>
      <c r="AL157" s="1">
        <v>2029.53</v>
      </c>
      <c r="AM157" s="9">
        <f t="shared" si="36"/>
        <v>0</v>
      </c>
      <c r="AN157" s="9">
        <f t="shared" si="37"/>
        <v>71456.58999999998</v>
      </c>
      <c r="AO157" s="248">
        <f t="shared" si="38"/>
        <v>71456.58999999998</v>
      </c>
      <c r="AP157" s="10"/>
      <c r="AQ157" s="10"/>
      <c r="AR157" s="10"/>
      <c r="AS157" s="10"/>
      <c r="AT157" s="163">
        <f t="shared" si="43"/>
        <v>71456.58999999998</v>
      </c>
      <c r="AU157" s="2"/>
      <c r="AV157" s="2"/>
      <c r="AW157" s="168"/>
      <c r="AX157" s="21">
        <f t="shared" si="32"/>
        <v>15347.234000000026</v>
      </c>
      <c r="AY157" s="26">
        <v>4321.85</v>
      </c>
    </row>
    <row r="158" spans="1:51" ht="15.75" customHeight="1">
      <c r="A158" s="1">
        <v>150</v>
      </c>
      <c r="B158" s="1" t="s">
        <v>168</v>
      </c>
      <c r="C158" s="1">
        <v>450.3</v>
      </c>
      <c r="D158" s="1">
        <v>0</v>
      </c>
      <c r="E158" s="1">
        <f t="shared" si="42"/>
        <v>450.3</v>
      </c>
      <c r="F158" s="2">
        <v>12.28</v>
      </c>
      <c r="G158" s="2">
        <f t="shared" si="33"/>
        <v>5529.684</v>
      </c>
      <c r="H158" s="2">
        <f t="shared" si="39"/>
        <v>33178.104</v>
      </c>
      <c r="I158" s="2">
        <f t="shared" si="44"/>
        <v>12.28</v>
      </c>
      <c r="J158" s="2">
        <f t="shared" si="41"/>
        <v>5529.684</v>
      </c>
      <c r="K158" s="2">
        <f t="shared" si="34"/>
        <v>33178.104</v>
      </c>
      <c r="L158" s="13">
        <f t="shared" si="40"/>
        <v>66356.208</v>
      </c>
      <c r="M158" s="139"/>
      <c r="N158" s="34">
        <f t="shared" si="35"/>
        <v>66356.208</v>
      </c>
      <c r="O158" s="152">
        <v>0</v>
      </c>
      <c r="P158" s="152">
        <v>1922.78</v>
      </c>
      <c r="Q158" s="1">
        <v>0</v>
      </c>
      <c r="R158" s="1">
        <v>37312.64</v>
      </c>
      <c r="S158" s="1">
        <v>0</v>
      </c>
      <c r="T158" s="1">
        <v>1922.78</v>
      </c>
      <c r="U158" s="33">
        <v>0</v>
      </c>
      <c r="V158" s="33">
        <v>2502.78</v>
      </c>
      <c r="W158" s="1">
        <v>0</v>
      </c>
      <c r="X158" s="1">
        <v>2580.22</v>
      </c>
      <c r="Y158" s="1">
        <v>0</v>
      </c>
      <c r="Z158" s="1">
        <v>2580.22</v>
      </c>
      <c r="AA158" s="33">
        <v>0</v>
      </c>
      <c r="AB158" s="33">
        <v>11834.91</v>
      </c>
      <c r="AC158" s="33">
        <v>0</v>
      </c>
      <c r="AD158" s="33">
        <v>2580.22</v>
      </c>
      <c r="AE158" s="33">
        <v>0</v>
      </c>
      <c r="AF158" s="33">
        <v>14247.95</v>
      </c>
      <c r="AG158" s="1">
        <v>0</v>
      </c>
      <c r="AH158" s="1">
        <v>6809.64</v>
      </c>
      <c r="AI158" s="1">
        <v>0</v>
      </c>
      <c r="AJ158" s="1">
        <v>1922.78</v>
      </c>
      <c r="AK158" s="1">
        <v>0</v>
      </c>
      <c r="AL158" s="1">
        <v>53863.56</v>
      </c>
      <c r="AM158" s="9">
        <f t="shared" si="36"/>
        <v>0</v>
      </c>
      <c r="AN158" s="9">
        <f t="shared" si="37"/>
        <v>140080.47999999998</v>
      </c>
      <c r="AO158" s="248">
        <f t="shared" si="38"/>
        <v>140080.47999999998</v>
      </c>
      <c r="AP158" s="10"/>
      <c r="AQ158" s="10"/>
      <c r="AR158" s="10"/>
      <c r="AS158" s="10"/>
      <c r="AT158" s="163">
        <f t="shared" si="43"/>
        <v>140080.47999999998</v>
      </c>
      <c r="AU158" s="2"/>
      <c r="AV158" s="2">
        <f>E158*0.65+(E158*0.69)*3</f>
        <v>1224.816</v>
      </c>
      <c r="AW158" s="168">
        <v>4128</v>
      </c>
      <c r="AX158" s="21">
        <f t="shared" si="32"/>
        <v>-68371.45599999998</v>
      </c>
      <c r="AY158" s="26">
        <v>125218.3</v>
      </c>
    </row>
    <row r="159" spans="1:51" ht="15.75">
      <c r="A159" s="1">
        <v>151</v>
      </c>
      <c r="B159" s="1" t="s">
        <v>169</v>
      </c>
      <c r="C159" s="1">
        <v>537.3</v>
      </c>
      <c r="D159" s="1">
        <v>0</v>
      </c>
      <c r="E159" s="1">
        <f t="shared" si="42"/>
        <v>537.3</v>
      </c>
      <c r="F159" s="2">
        <v>9.63</v>
      </c>
      <c r="G159" s="2">
        <f t="shared" si="33"/>
        <v>5174.199</v>
      </c>
      <c r="H159" s="2">
        <f t="shared" si="39"/>
        <v>31045.193999999996</v>
      </c>
      <c r="I159" s="2">
        <f t="shared" si="44"/>
        <v>9.63</v>
      </c>
      <c r="J159" s="2">
        <f t="shared" si="41"/>
        <v>5174.199</v>
      </c>
      <c r="K159" s="2">
        <f t="shared" si="34"/>
        <v>31045.193999999996</v>
      </c>
      <c r="L159" s="13">
        <f t="shared" si="40"/>
        <v>62090.38799999999</v>
      </c>
      <c r="M159" s="139"/>
      <c r="N159" s="34">
        <f t="shared" si="35"/>
        <v>62090.38799999999</v>
      </c>
      <c r="O159" s="152">
        <v>0</v>
      </c>
      <c r="P159" s="152">
        <v>2944.05</v>
      </c>
      <c r="Q159" s="1">
        <v>0</v>
      </c>
      <c r="R159" s="1">
        <v>2944.05</v>
      </c>
      <c r="S159" s="1">
        <v>4521.71</v>
      </c>
      <c r="T159" s="1">
        <v>1610.86</v>
      </c>
      <c r="U159" s="33">
        <v>14761.92</v>
      </c>
      <c r="V159" s="33">
        <v>2604.29</v>
      </c>
      <c r="W159" s="1">
        <v>0</v>
      </c>
      <c r="X159" s="1">
        <v>1610.86</v>
      </c>
      <c r="Y159" s="1">
        <v>0</v>
      </c>
      <c r="Z159" s="1">
        <v>1970.86</v>
      </c>
      <c r="AA159" s="33">
        <v>0</v>
      </c>
      <c r="AB159" s="33">
        <v>1610.86</v>
      </c>
      <c r="AC159" s="33">
        <v>0</v>
      </c>
      <c r="AD159" s="33">
        <v>1610.86</v>
      </c>
      <c r="AE159" s="33">
        <v>10394.09</v>
      </c>
      <c r="AF159" s="33">
        <v>1610.86</v>
      </c>
      <c r="AG159" s="1">
        <v>0</v>
      </c>
      <c r="AH159" s="1">
        <v>2771.27</v>
      </c>
      <c r="AI159" s="1">
        <v>0</v>
      </c>
      <c r="AJ159" s="1">
        <v>3429.81</v>
      </c>
      <c r="AK159" s="1">
        <v>0</v>
      </c>
      <c r="AL159" s="1">
        <v>1610.86</v>
      </c>
      <c r="AM159" s="9">
        <f t="shared" si="36"/>
        <v>29677.72</v>
      </c>
      <c r="AN159" s="9">
        <f t="shared" si="37"/>
        <v>26329.490000000005</v>
      </c>
      <c r="AO159" s="248">
        <f t="shared" si="38"/>
        <v>56007.21000000001</v>
      </c>
      <c r="AP159" s="10"/>
      <c r="AQ159" s="10"/>
      <c r="AR159" s="10"/>
      <c r="AS159" s="10"/>
      <c r="AT159" s="163">
        <f t="shared" si="43"/>
        <v>56007.21000000001</v>
      </c>
      <c r="AU159" s="2"/>
      <c r="AV159" s="2"/>
      <c r="AW159" s="168">
        <v>4128</v>
      </c>
      <c r="AX159" s="21">
        <f t="shared" si="32"/>
        <v>10211.177999999985</v>
      </c>
      <c r="AY159" s="26">
        <f>136905.46+52702.85</f>
        <v>189608.31</v>
      </c>
    </row>
    <row r="160" spans="1:51" ht="15.75">
      <c r="A160" s="1">
        <v>152</v>
      </c>
      <c r="B160" s="1" t="s">
        <v>170</v>
      </c>
      <c r="C160" s="1">
        <v>461.5</v>
      </c>
      <c r="D160" s="1">
        <v>0</v>
      </c>
      <c r="E160" s="1">
        <f t="shared" si="42"/>
        <v>461.5</v>
      </c>
      <c r="F160" s="2">
        <v>12.28</v>
      </c>
      <c r="G160" s="2">
        <f t="shared" si="33"/>
        <v>5667.219999999999</v>
      </c>
      <c r="H160" s="2">
        <f t="shared" si="39"/>
        <v>34003.31999999999</v>
      </c>
      <c r="I160" s="2">
        <f t="shared" si="44"/>
        <v>12.28</v>
      </c>
      <c r="J160" s="2">
        <f t="shared" si="41"/>
        <v>5667.219999999999</v>
      </c>
      <c r="K160" s="2">
        <f t="shared" si="34"/>
        <v>34003.31999999999</v>
      </c>
      <c r="L160" s="13">
        <f t="shared" si="40"/>
        <v>68006.63999999998</v>
      </c>
      <c r="M160" s="139">
        <v>-47568.87</v>
      </c>
      <c r="N160" s="34">
        <f t="shared" si="35"/>
        <v>20437.769999999982</v>
      </c>
      <c r="O160" s="152">
        <v>0</v>
      </c>
      <c r="P160" s="152">
        <v>1185.54</v>
      </c>
      <c r="Q160" s="1">
        <v>0</v>
      </c>
      <c r="R160" s="1">
        <v>1185.54</v>
      </c>
      <c r="S160" s="1">
        <v>0</v>
      </c>
      <c r="T160" s="1">
        <v>1185.54</v>
      </c>
      <c r="U160" s="33">
        <v>0</v>
      </c>
      <c r="V160" s="33">
        <v>1765.54</v>
      </c>
      <c r="W160" s="1">
        <v>0</v>
      </c>
      <c r="X160" s="1">
        <v>6107.86</v>
      </c>
      <c r="Y160" s="1">
        <v>0</v>
      </c>
      <c r="Z160" s="1">
        <v>1185.54</v>
      </c>
      <c r="AA160" s="33">
        <v>0</v>
      </c>
      <c r="AB160" s="33">
        <v>1185.54</v>
      </c>
      <c r="AC160" s="33">
        <v>0</v>
      </c>
      <c r="AD160" s="33">
        <v>1185.54</v>
      </c>
      <c r="AE160" s="33">
        <v>0</v>
      </c>
      <c r="AF160" s="33">
        <v>1185.54</v>
      </c>
      <c r="AG160" s="1">
        <v>0</v>
      </c>
      <c r="AH160" s="1">
        <v>2345.95</v>
      </c>
      <c r="AI160" s="1">
        <v>0</v>
      </c>
      <c r="AJ160" s="1">
        <v>1185.54</v>
      </c>
      <c r="AK160" s="1">
        <v>0</v>
      </c>
      <c r="AL160" s="1">
        <v>1185.54</v>
      </c>
      <c r="AM160" s="9">
        <f t="shared" si="36"/>
        <v>0</v>
      </c>
      <c r="AN160" s="9">
        <f t="shared" si="37"/>
        <v>20889.210000000006</v>
      </c>
      <c r="AO160" s="248">
        <f t="shared" si="38"/>
        <v>20889.210000000006</v>
      </c>
      <c r="AP160" s="10"/>
      <c r="AQ160" s="10"/>
      <c r="AR160" s="10"/>
      <c r="AS160" s="10"/>
      <c r="AT160" s="163">
        <f t="shared" si="43"/>
        <v>20889.210000000006</v>
      </c>
      <c r="AU160" s="2"/>
      <c r="AV160" s="2">
        <f>E160*0.65+(E160*0.69)*3</f>
        <v>1255.2800000000002</v>
      </c>
      <c r="AW160" s="168"/>
      <c r="AX160" s="21">
        <f t="shared" si="32"/>
        <v>803.839999999976</v>
      </c>
      <c r="AY160" s="26">
        <v>304242.79</v>
      </c>
    </row>
    <row r="161" spans="1:51" ht="15.75" customHeight="1">
      <c r="A161" s="1">
        <v>153</v>
      </c>
      <c r="B161" s="27" t="s">
        <v>477</v>
      </c>
      <c r="C161" s="1">
        <v>1426.5</v>
      </c>
      <c r="D161" s="1">
        <v>337</v>
      </c>
      <c r="E161" s="1">
        <f t="shared" si="42"/>
        <v>1763.5</v>
      </c>
      <c r="F161" s="2">
        <v>10</v>
      </c>
      <c r="G161" s="2">
        <f t="shared" si="33"/>
        <v>17635</v>
      </c>
      <c r="H161" s="169">
        <f>(G161*4)+(J161*2)</f>
        <v>119353.68</v>
      </c>
      <c r="I161" s="169">
        <v>13.84</v>
      </c>
      <c r="J161" s="169">
        <f>E161*I161</f>
        <v>24406.84</v>
      </c>
      <c r="K161" s="169">
        <f t="shared" si="34"/>
        <v>146441.04</v>
      </c>
      <c r="L161" s="13">
        <f t="shared" si="40"/>
        <v>265794.72</v>
      </c>
      <c r="M161" s="139"/>
      <c r="N161" s="34">
        <f t="shared" si="35"/>
        <v>265794.72</v>
      </c>
      <c r="O161" s="152">
        <v>0</v>
      </c>
      <c r="P161" s="152">
        <v>46442.2</v>
      </c>
      <c r="Q161" s="1">
        <v>0</v>
      </c>
      <c r="R161" s="1">
        <v>27136.95</v>
      </c>
      <c r="S161" s="1">
        <v>0</v>
      </c>
      <c r="T161" s="1">
        <v>20067.09</v>
      </c>
      <c r="U161" s="33">
        <v>0</v>
      </c>
      <c r="V161" s="33">
        <v>15437.74</v>
      </c>
      <c r="W161" s="1">
        <v>0</v>
      </c>
      <c r="X161" s="1">
        <v>10604.86</v>
      </c>
      <c r="Y161" s="1">
        <v>0</v>
      </c>
      <c r="Z161" s="1">
        <v>10334.86</v>
      </c>
      <c r="AA161" s="33">
        <v>0</v>
      </c>
      <c r="AB161" s="33">
        <v>18956.68</v>
      </c>
      <c r="AC161" s="33">
        <v>0</v>
      </c>
      <c r="AD161" s="33">
        <v>17966.84</v>
      </c>
      <c r="AE161" s="33">
        <v>0</v>
      </c>
      <c r="AF161" s="33">
        <v>35246.74</v>
      </c>
      <c r="AG161" s="1">
        <v>0</v>
      </c>
      <c r="AH161" s="1">
        <v>12368.38</v>
      </c>
      <c r="AI161" s="1">
        <v>0</v>
      </c>
      <c r="AJ161" s="1">
        <v>8912.99</v>
      </c>
      <c r="AK161" s="1">
        <v>0</v>
      </c>
      <c r="AL161" s="1">
        <v>31910.06</v>
      </c>
      <c r="AM161" s="9">
        <f t="shared" si="36"/>
        <v>0</v>
      </c>
      <c r="AN161" s="9">
        <f t="shared" si="37"/>
        <v>255385.38999999998</v>
      </c>
      <c r="AO161" s="248">
        <f t="shared" si="38"/>
        <v>255385.38999999998</v>
      </c>
      <c r="AP161" s="10"/>
      <c r="AQ161" s="10"/>
      <c r="AR161" s="10"/>
      <c r="AS161" s="10"/>
      <c r="AT161" s="163">
        <f t="shared" si="43"/>
        <v>255385.38999999998</v>
      </c>
      <c r="AU161" s="2"/>
      <c r="AV161" s="2"/>
      <c r="AW161" s="168">
        <v>4128</v>
      </c>
      <c r="AX161" s="21">
        <f t="shared" si="32"/>
        <v>14537.329999999987</v>
      </c>
      <c r="AY161" s="26">
        <v>63315</v>
      </c>
    </row>
    <row r="162" spans="1:51" ht="15.75" customHeight="1">
      <c r="A162" s="1">
        <v>154</v>
      </c>
      <c r="B162" s="27" t="s">
        <v>171</v>
      </c>
      <c r="C162" s="1">
        <v>629</v>
      </c>
      <c r="D162" s="1">
        <v>0</v>
      </c>
      <c r="E162" s="1">
        <f t="shared" si="42"/>
        <v>629</v>
      </c>
      <c r="F162" s="2">
        <v>13</v>
      </c>
      <c r="G162" s="2">
        <f t="shared" si="33"/>
        <v>8177</v>
      </c>
      <c r="H162" s="2">
        <f t="shared" si="39"/>
        <v>49062</v>
      </c>
      <c r="I162" s="2">
        <f t="shared" si="44"/>
        <v>13</v>
      </c>
      <c r="J162" s="2">
        <f t="shared" si="41"/>
        <v>8177</v>
      </c>
      <c r="K162" s="2">
        <f t="shared" si="34"/>
        <v>49062</v>
      </c>
      <c r="L162" s="13">
        <f t="shared" si="40"/>
        <v>98124</v>
      </c>
      <c r="M162" s="139">
        <v>-14280.7</v>
      </c>
      <c r="N162" s="34">
        <f t="shared" si="35"/>
        <v>83843.3</v>
      </c>
      <c r="O162" s="152">
        <v>21340</v>
      </c>
      <c r="P162" s="152">
        <v>1846.53</v>
      </c>
      <c r="Q162" s="1">
        <v>0</v>
      </c>
      <c r="R162" s="1">
        <v>1846.53</v>
      </c>
      <c r="S162" s="1">
        <v>6805.77</v>
      </c>
      <c r="T162" s="1">
        <v>1846.53</v>
      </c>
      <c r="U162" s="33">
        <v>9043.43</v>
      </c>
      <c r="V162" s="33">
        <v>4269.77</v>
      </c>
      <c r="W162" s="1">
        <v>0</v>
      </c>
      <c r="X162" s="1">
        <v>1846.53</v>
      </c>
      <c r="Y162" s="1">
        <v>0</v>
      </c>
      <c r="Z162" s="1">
        <v>1846.53</v>
      </c>
      <c r="AA162" s="33">
        <v>680.32</v>
      </c>
      <c r="AB162" s="33">
        <v>1846.53</v>
      </c>
      <c r="AC162" s="33">
        <v>0</v>
      </c>
      <c r="AD162" s="33">
        <v>1846.53</v>
      </c>
      <c r="AE162" s="33">
        <v>0</v>
      </c>
      <c r="AF162" s="33">
        <v>1846.53</v>
      </c>
      <c r="AG162" s="1">
        <v>65364</v>
      </c>
      <c r="AH162" s="1">
        <v>3006.94</v>
      </c>
      <c r="AI162" s="1">
        <v>0</v>
      </c>
      <c r="AJ162" s="1">
        <v>1846.53</v>
      </c>
      <c r="AK162" s="1">
        <v>2855.27</v>
      </c>
      <c r="AL162" s="1">
        <v>1846.53</v>
      </c>
      <c r="AM162" s="9">
        <f t="shared" si="36"/>
        <v>106088.79</v>
      </c>
      <c r="AN162" s="9">
        <f t="shared" si="37"/>
        <v>25742.01</v>
      </c>
      <c r="AO162" s="248">
        <f t="shared" si="38"/>
        <v>131830.8</v>
      </c>
      <c r="AP162" s="10"/>
      <c r="AQ162" s="10"/>
      <c r="AR162" s="10"/>
      <c r="AS162" s="10"/>
      <c r="AT162" s="163">
        <f t="shared" si="43"/>
        <v>131830.8</v>
      </c>
      <c r="AU162" s="2"/>
      <c r="AV162" s="2"/>
      <c r="AW162" s="168"/>
      <c r="AX162" s="21">
        <f t="shared" si="32"/>
        <v>-47987.499999999985</v>
      </c>
      <c r="AY162" s="26">
        <v>37764.27</v>
      </c>
    </row>
    <row r="163" spans="1:51" ht="15.75" customHeight="1">
      <c r="A163" s="1">
        <v>155</v>
      </c>
      <c r="B163" s="27" t="s">
        <v>172</v>
      </c>
      <c r="C163" s="1">
        <v>2020.2</v>
      </c>
      <c r="D163" s="1">
        <v>0</v>
      </c>
      <c r="E163" s="1">
        <f t="shared" si="42"/>
        <v>2020.2</v>
      </c>
      <c r="F163" s="2">
        <v>13</v>
      </c>
      <c r="G163" s="2">
        <f t="shared" si="33"/>
        <v>26262.600000000002</v>
      </c>
      <c r="H163" s="2">
        <f t="shared" si="39"/>
        <v>157575.6</v>
      </c>
      <c r="I163" s="2">
        <f t="shared" si="44"/>
        <v>13</v>
      </c>
      <c r="J163" s="2">
        <f t="shared" si="41"/>
        <v>26262.600000000002</v>
      </c>
      <c r="K163" s="2">
        <f t="shared" si="34"/>
        <v>157575.6</v>
      </c>
      <c r="L163" s="13">
        <f t="shared" si="40"/>
        <v>315151.2</v>
      </c>
      <c r="M163" s="139"/>
      <c r="N163" s="34">
        <f t="shared" si="35"/>
        <v>315151.2</v>
      </c>
      <c r="O163" s="152">
        <v>0</v>
      </c>
      <c r="P163" s="152">
        <v>-142143.75</v>
      </c>
      <c r="Q163" s="1">
        <v>0</v>
      </c>
      <c r="R163" s="1">
        <v>42323.57</v>
      </c>
      <c r="S163" s="1">
        <v>0</v>
      </c>
      <c r="T163" s="1">
        <v>260476.82</v>
      </c>
      <c r="U163" s="33">
        <v>0</v>
      </c>
      <c r="V163" s="33">
        <v>10181.62</v>
      </c>
      <c r="W163" s="1">
        <v>0</v>
      </c>
      <c r="X163" s="1">
        <v>13619.96</v>
      </c>
      <c r="Y163" s="1">
        <v>0</v>
      </c>
      <c r="Z163" s="1">
        <v>33622.91</v>
      </c>
      <c r="AA163" s="33">
        <v>0</v>
      </c>
      <c r="AB163" s="33">
        <v>37554.8</v>
      </c>
      <c r="AC163" s="33">
        <v>0</v>
      </c>
      <c r="AD163" s="33">
        <v>11805.75</v>
      </c>
      <c r="AE163" s="33">
        <v>0</v>
      </c>
      <c r="AF163" s="33">
        <v>11895.75</v>
      </c>
      <c r="AG163" s="1">
        <v>0</v>
      </c>
      <c r="AH163" s="1">
        <v>10016.66</v>
      </c>
      <c r="AI163" s="1">
        <v>0</v>
      </c>
      <c r="AJ163" s="1">
        <v>8856.25</v>
      </c>
      <c r="AK163" s="1">
        <v>0</v>
      </c>
      <c r="AL163" s="1">
        <v>11225.67</v>
      </c>
      <c r="AM163" s="9">
        <f t="shared" si="36"/>
        <v>0</v>
      </c>
      <c r="AN163" s="9">
        <f t="shared" si="37"/>
        <v>309436.00999999995</v>
      </c>
      <c r="AO163" s="248">
        <f t="shared" si="38"/>
        <v>309436.00999999995</v>
      </c>
      <c r="AP163" s="10"/>
      <c r="AQ163" s="10"/>
      <c r="AR163" s="10"/>
      <c r="AS163" s="10"/>
      <c r="AT163" s="163">
        <f t="shared" si="43"/>
        <v>309436.00999999995</v>
      </c>
      <c r="AU163" s="2"/>
      <c r="AV163" s="2"/>
      <c r="AW163" s="168"/>
      <c r="AX163" s="21">
        <f t="shared" si="32"/>
        <v>5715.1900000000605</v>
      </c>
      <c r="AY163" s="26">
        <v>321542.73</v>
      </c>
    </row>
    <row r="164" spans="1:51" ht="15.75" customHeight="1">
      <c r="A164" s="1">
        <v>156</v>
      </c>
      <c r="B164" s="27" t="s">
        <v>173</v>
      </c>
      <c r="C164" s="1">
        <v>2009.3</v>
      </c>
      <c r="D164" s="1">
        <v>0</v>
      </c>
      <c r="E164" s="1">
        <f t="shared" si="42"/>
        <v>2009.3</v>
      </c>
      <c r="F164" s="2">
        <v>13.87</v>
      </c>
      <c r="G164" s="2">
        <f t="shared" si="33"/>
        <v>27868.990999999998</v>
      </c>
      <c r="H164" s="2">
        <f t="shared" si="39"/>
        <v>167213.946</v>
      </c>
      <c r="I164" s="2">
        <f t="shared" si="44"/>
        <v>13.87</v>
      </c>
      <c r="J164" s="2">
        <f t="shared" si="41"/>
        <v>27868.990999999998</v>
      </c>
      <c r="K164" s="2">
        <f t="shared" si="34"/>
        <v>167213.946</v>
      </c>
      <c r="L164" s="13">
        <f t="shared" si="40"/>
        <v>334427.892</v>
      </c>
      <c r="M164" s="139"/>
      <c r="N164" s="34">
        <f t="shared" si="35"/>
        <v>334427.892</v>
      </c>
      <c r="O164" s="152">
        <v>0</v>
      </c>
      <c r="P164" s="152">
        <v>268966.29</v>
      </c>
      <c r="Q164" s="1">
        <v>0</v>
      </c>
      <c r="R164" s="1">
        <v>38883.14</v>
      </c>
      <c r="S164" s="1">
        <v>0</v>
      </c>
      <c r="T164" s="1">
        <v>10232.9</v>
      </c>
      <c r="U164" s="33">
        <v>0</v>
      </c>
      <c r="V164" s="33">
        <v>9967.58</v>
      </c>
      <c r="W164" s="1">
        <v>0</v>
      </c>
      <c r="X164" s="1">
        <v>13554.63</v>
      </c>
      <c r="Y164" s="1">
        <v>0</v>
      </c>
      <c r="Z164" s="1">
        <v>34453.78</v>
      </c>
      <c r="AA164" s="33">
        <v>0</v>
      </c>
      <c r="AB164" s="33">
        <v>45961.16</v>
      </c>
      <c r="AC164" s="33">
        <v>0</v>
      </c>
      <c r="AD164" s="33">
        <v>11740.42</v>
      </c>
      <c r="AE164" s="33">
        <v>0</v>
      </c>
      <c r="AF164" s="33">
        <v>27115.42</v>
      </c>
      <c r="AG164" s="1">
        <v>0</v>
      </c>
      <c r="AH164" s="1">
        <v>11464.99</v>
      </c>
      <c r="AI164" s="1">
        <v>0</v>
      </c>
      <c r="AJ164" s="1">
        <v>8807.58</v>
      </c>
      <c r="AK164" s="1">
        <v>0</v>
      </c>
      <c r="AL164" s="1">
        <v>9916.4</v>
      </c>
      <c r="AM164" s="9">
        <f t="shared" si="36"/>
        <v>0</v>
      </c>
      <c r="AN164" s="9">
        <f t="shared" si="37"/>
        <v>491064.2900000001</v>
      </c>
      <c r="AO164" s="248">
        <f t="shared" si="38"/>
        <v>491064.2900000001</v>
      </c>
      <c r="AP164" s="10"/>
      <c r="AQ164" s="10"/>
      <c r="AR164" s="10"/>
      <c r="AS164" s="10"/>
      <c r="AT164" s="163">
        <f t="shared" si="43"/>
        <v>491064.2900000001</v>
      </c>
      <c r="AU164" s="2"/>
      <c r="AV164" s="2"/>
      <c r="AW164" s="168">
        <v>2408</v>
      </c>
      <c r="AX164" s="21">
        <f t="shared" si="32"/>
        <v>-154228.3980000001</v>
      </c>
      <c r="AY164" s="26">
        <v>328173.52</v>
      </c>
    </row>
    <row r="165" spans="1:78" s="18" customFormat="1" ht="15.75">
      <c r="A165" s="1">
        <v>157</v>
      </c>
      <c r="B165" s="27" t="s">
        <v>478</v>
      </c>
      <c r="C165" s="1">
        <v>629.1</v>
      </c>
      <c r="D165" s="1">
        <v>0</v>
      </c>
      <c r="E165" s="1">
        <f t="shared" si="42"/>
        <v>629.1</v>
      </c>
      <c r="F165" s="2">
        <v>9.16</v>
      </c>
      <c r="G165" s="2">
        <f t="shared" si="33"/>
        <v>5762.5560000000005</v>
      </c>
      <c r="H165" s="169">
        <f t="shared" si="39"/>
        <v>34575.336</v>
      </c>
      <c r="I165" s="169">
        <v>13</v>
      </c>
      <c r="J165" s="169">
        <f t="shared" si="41"/>
        <v>8178.3</v>
      </c>
      <c r="K165" s="169">
        <f t="shared" si="34"/>
        <v>49069.8</v>
      </c>
      <c r="L165" s="13">
        <f t="shared" si="40"/>
        <v>83645.136</v>
      </c>
      <c r="M165" s="139"/>
      <c r="N165" s="34">
        <f t="shared" si="35"/>
        <v>83645.136</v>
      </c>
      <c r="O165" s="152">
        <v>21340</v>
      </c>
      <c r="P165" s="152">
        <v>1846.79</v>
      </c>
      <c r="Q165" s="1">
        <v>2272.46</v>
      </c>
      <c r="R165" s="1">
        <v>2336.75</v>
      </c>
      <c r="S165" s="1">
        <v>2260.85</v>
      </c>
      <c r="T165" s="1">
        <v>1846.79</v>
      </c>
      <c r="U165" s="33">
        <v>0</v>
      </c>
      <c r="V165" s="33">
        <v>2426.79</v>
      </c>
      <c r="W165" s="1">
        <v>0</v>
      </c>
      <c r="X165" s="1">
        <v>1846.79</v>
      </c>
      <c r="Y165" s="1">
        <v>34427.6</v>
      </c>
      <c r="Z165" s="1">
        <v>1846.79</v>
      </c>
      <c r="AA165" s="33">
        <v>9262.23</v>
      </c>
      <c r="AB165" s="33">
        <v>1846.79</v>
      </c>
      <c r="AC165" s="33">
        <v>1124.66</v>
      </c>
      <c r="AD165" s="33">
        <v>1846.79</v>
      </c>
      <c r="AE165" s="33">
        <v>9939.21</v>
      </c>
      <c r="AF165" s="33">
        <v>1846.79</v>
      </c>
      <c r="AG165" s="1">
        <v>0</v>
      </c>
      <c r="AH165" s="1">
        <v>5254.24</v>
      </c>
      <c r="AI165" s="1">
        <v>0</v>
      </c>
      <c r="AJ165" s="1">
        <v>1846.79</v>
      </c>
      <c r="AK165" s="1">
        <v>1833.8</v>
      </c>
      <c r="AL165" s="1">
        <v>1846.79</v>
      </c>
      <c r="AM165" s="9">
        <f t="shared" si="36"/>
        <v>82460.81000000001</v>
      </c>
      <c r="AN165" s="9">
        <f t="shared" si="37"/>
        <v>26638.890000000007</v>
      </c>
      <c r="AO165" s="248">
        <f t="shared" si="38"/>
        <v>109099.70000000001</v>
      </c>
      <c r="AP165" s="10"/>
      <c r="AQ165" s="10">
        <f>127716.19-12835.42</f>
        <v>114880.77</v>
      </c>
      <c r="AR165" s="10"/>
      <c r="AS165" s="10"/>
      <c r="AT165" s="163">
        <f t="shared" si="43"/>
        <v>223980.47000000003</v>
      </c>
      <c r="AU165" s="2"/>
      <c r="AV165" s="2"/>
      <c r="AW165" s="168"/>
      <c r="AX165" s="21">
        <f t="shared" si="32"/>
        <v>-140335.33400000003</v>
      </c>
      <c r="AY165" s="26">
        <v>20950.7</v>
      </c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</row>
    <row r="166" spans="1:78" s="18" customFormat="1" ht="15.75">
      <c r="A166" s="1">
        <v>158</v>
      </c>
      <c r="B166" s="27" t="s">
        <v>174</v>
      </c>
      <c r="C166" s="1">
        <v>405.1</v>
      </c>
      <c r="D166" s="1">
        <v>0</v>
      </c>
      <c r="E166" s="1">
        <f t="shared" si="42"/>
        <v>405.1</v>
      </c>
      <c r="F166" s="2">
        <v>8.44</v>
      </c>
      <c r="G166" s="2">
        <f t="shared" si="33"/>
        <v>3419.044</v>
      </c>
      <c r="H166" s="2">
        <f t="shared" si="39"/>
        <v>20514.264</v>
      </c>
      <c r="I166" s="2">
        <f t="shared" si="44"/>
        <v>8.44</v>
      </c>
      <c r="J166" s="2">
        <f t="shared" si="41"/>
        <v>3419.044</v>
      </c>
      <c r="K166" s="2">
        <f t="shared" si="34"/>
        <v>20514.264</v>
      </c>
      <c r="L166" s="13">
        <f t="shared" si="40"/>
        <v>41028.528</v>
      </c>
      <c r="M166" s="139"/>
      <c r="N166" s="34">
        <f t="shared" si="35"/>
        <v>41028.528</v>
      </c>
      <c r="O166" s="152">
        <v>0</v>
      </c>
      <c r="P166" s="152">
        <v>1041.11</v>
      </c>
      <c r="Q166" s="1">
        <v>0</v>
      </c>
      <c r="R166" s="1">
        <v>1041.11</v>
      </c>
      <c r="S166" s="1">
        <v>0</v>
      </c>
      <c r="T166" s="1">
        <v>4665.45</v>
      </c>
      <c r="U166" s="33">
        <v>0</v>
      </c>
      <c r="V166" s="33">
        <v>7642.82</v>
      </c>
      <c r="W166" s="1">
        <v>0</v>
      </c>
      <c r="X166" s="1">
        <v>1041.11</v>
      </c>
      <c r="Y166" s="1">
        <v>0</v>
      </c>
      <c r="Z166" s="1">
        <v>1041.11</v>
      </c>
      <c r="AA166" s="33">
        <v>0</v>
      </c>
      <c r="AB166" s="33">
        <v>4347.35</v>
      </c>
      <c r="AC166" s="33">
        <v>0</v>
      </c>
      <c r="AD166" s="33">
        <v>1041.11</v>
      </c>
      <c r="AE166" s="33">
        <v>0</v>
      </c>
      <c r="AF166" s="33">
        <v>1041.11</v>
      </c>
      <c r="AG166" s="1">
        <v>0</v>
      </c>
      <c r="AH166" s="1">
        <v>2201.52</v>
      </c>
      <c r="AI166" s="1">
        <v>0</v>
      </c>
      <c r="AJ166" s="1">
        <v>1041.11</v>
      </c>
      <c r="AK166" s="1">
        <v>0</v>
      </c>
      <c r="AL166" s="1">
        <v>1041.11</v>
      </c>
      <c r="AM166" s="9">
        <f t="shared" si="36"/>
        <v>0</v>
      </c>
      <c r="AN166" s="9">
        <f t="shared" si="37"/>
        <v>27186.02</v>
      </c>
      <c r="AO166" s="248">
        <f t="shared" si="38"/>
        <v>27186.02</v>
      </c>
      <c r="AP166" s="10"/>
      <c r="AQ166" s="10"/>
      <c r="AR166" s="10"/>
      <c r="AS166" s="10"/>
      <c r="AT166" s="163">
        <f t="shared" si="43"/>
        <v>27186.02</v>
      </c>
      <c r="AU166" s="2"/>
      <c r="AV166" s="2">
        <f>E166*0.65+(E166*0.69)*3</f>
        <v>1101.872</v>
      </c>
      <c r="AW166" s="168"/>
      <c r="AX166" s="21">
        <f t="shared" si="32"/>
        <v>14944.379999999997</v>
      </c>
      <c r="AY166" s="26">
        <v>72478.99</v>
      </c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</row>
    <row r="167" spans="1:51" ht="15.75">
      <c r="A167" s="1">
        <v>159</v>
      </c>
      <c r="B167" s="1" t="s">
        <v>175</v>
      </c>
      <c r="C167" s="1">
        <v>1286.3</v>
      </c>
      <c r="D167" s="1">
        <v>0</v>
      </c>
      <c r="E167" s="1">
        <f t="shared" si="42"/>
        <v>1286.3</v>
      </c>
      <c r="F167" s="2">
        <v>13.84</v>
      </c>
      <c r="G167" s="2">
        <f t="shared" si="33"/>
        <v>17802.392</v>
      </c>
      <c r="H167" s="2">
        <f t="shared" si="39"/>
        <v>106814.352</v>
      </c>
      <c r="I167" s="2">
        <f t="shared" si="44"/>
        <v>13.84</v>
      </c>
      <c r="J167" s="2">
        <f t="shared" si="41"/>
        <v>17802.392</v>
      </c>
      <c r="K167" s="2">
        <f t="shared" si="34"/>
        <v>106814.352</v>
      </c>
      <c r="L167" s="13">
        <f t="shared" si="40"/>
        <v>213628.704</v>
      </c>
      <c r="M167" s="139">
        <v>-175064.49</v>
      </c>
      <c r="N167" s="34">
        <f t="shared" si="35"/>
        <v>38564.21400000001</v>
      </c>
      <c r="O167" s="152">
        <v>0</v>
      </c>
      <c r="P167" s="152">
        <v>5722.5</v>
      </c>
      <c r="Q167" s="1">
        <v>0</v>
      </c>
      <c r="R167" s="1">
        <v>202317.81</v>
      </c>
      <c r="S167" s="1">
        <v>0</v>
      </c>
      <c r="T167" s="1">
        <v>36679.45</v>
      </c>
      <c r="U167" s="33">
        <v>0</v>
      </c>
      <c r="V167" s="33">
        <v>19016.03</v>
      </c>
      <c r="W167" s="1">
        <v>0</v>
      </c>
      <c r="X167" s="1">
        <v>35549.9</v>
      </c>
      <c r="Y167" s="1">
        <v>0</v>
      </c>
      <c r="Z167" s="1">
        <v>43089.06</v>
      </c>
      <c r="AA167" s="33">
        <v>0</v>
      </c>
      <c r="AB167" s="33">
        <v>12151.32</v>
      </c>
      <c r="AC167" s="33">
        <v>0</v>
      </c>
      <c r="AD167" s="33">
        <v>10838.38</v>
      </c>
      <c r="AE167" s="33">
        <v>0</v>
      </c>
      <c r="AF167" s="33">
        <v>7600.5</v>
      </c>
      <c r="AG167" s="1">
        <v>0</v>
      </c>
      <c r="AH167" s="1">
        <v>8649.76</v>
      </c>
      <c r="AI167" s="1">
        <v>0</v>
      </c>
      <c r="AJ167" s="1">
        <v>5722.5</v>
      </c>
      <c r="AK167" s="1">
        <v>0</v>
      </c>
      <c r="AL167" s="1">
        <v>4593.43</v>
      </c>
      <c r="AM167" s="9">
        <f t="shared" si="36"/>
        <v>0</v>
      </c>
      <c r="AN167" s="9">
        <f t="shared" si="37"/>
        <v>391930.6400000001</v>
      </c>
      <c r="AO167" s="248">
        <f t="shared" si="38"/>
        <v>391930.6400000001</v>
      </c>
      <c r="AP167" s="10"/>
      <c r="AQ167" s="10"/>
      <c r="AR167" s="10"/>
      <c r="AS167" s="10"/>
      <c r="AT167" s="163">
        <f t="shared" si="43"/>
        <v>391930.6400000001</v>
      </c>
      <c r="AU167" s="2"/>
      <c r="AV167" s="2"/>
      <c r="AW167" s="168">
        <v>4128</v>
      </c>
      <c r="AX167" s="21">
        <f t="shared" si="32"/>
        <v>-349238.4260000001</v>
      </c>
      <c r="AY167" s="26">
        <v>261709.87</v>
      </c>
    </row>
    <row r="168" spans="1:51" ht="15.75">
      <c r="A168" s="1">
        <v>160</v>
      </c>
      <c r="B168" s="1" t="s">
        <v>176</v>
      </c>
      <c r="C168" s="1">
        <v>946.3</v>
      </c>
      <c r="D168" s="1">
        <v>0</v>
      </c>
      <c r="E168" s="1">
        <f t="shared" si="42"/>
        <v>946.3</v>
      </c>
      <c r="F168" s="2">
        <v>13.3</v>
      </c>
      <c r="G168" s="2">
        <f t="shared" si="33"/>
        <v>12585.79</v>
      </c>
      <c r="H168" s="2">
        <f t="shared" si="39"/>
        <v>75514.74</v>
      </c>
      <c r="I168" s="2">
        <f t="shared" si="44"/>
        <v>13.3</v>
      </c>
      <c r="J168" s="2">
        <f t="shared" si="41"/>
        <v>12585.79</v>
      </c>
      <c r="K168" s="2">
        <f t="shared" si="34"/>
        <v>75514.74</v>
      </c>
      <c r="L168" s="13">
        <f t="shared" si="40"/>
        <v>151029.48</v>
      </c>
      <c r="M168" s="139"/>
      <c r="N168" s="34">
        <f t="shared" si="35"/>
        <v>151029.48</v>
      </c>
      <c r="O168" s="152">
        <v>0</v>
      </c>
      <c r="P168" s="152">
        <v>2661.99</v>
      </c>
      <c r="Q168" s="1">
        <v>0</v>
      </c>
      <c r="R168" s="1">
        <v>20629.34</v>
      </c>
      <c r="S168" s="1">
        <v>0</v>
      </c>
      <c r="T168" s="1">
        <v>4087.31</v>
      </c>
      <c r="U168" s="33">
        <v>0</v>
      </c>
      <c r="V168" s="33">
        <v>3987.36</v>
      </c>
      <c r="W168" s="1">
        <v>0</v>
      </c>
      <c r="X168" s="1">
        <v>12350.05</v>
      </c>
      <c r="Y168" s="1">
        <v>0</v>
      </c>
      <c r="Z168" s="1">
        <v>2661.99</v>
      </c>
      <c r="AA168" s="33">
        <v>0</v>
      </c>
      <c r="AB168" s="33">
        <v>100089.81</v>
      </c>
      <c r="AC168" s="33">
        <v>0</v>
      </c>
      <c r="AD168" s="33">
        <v>28715.57</v>
      </c>
      <c r="AE168" s="33">
        <v>0</v>
      </c>
      <c r="AF168" s="33">
        <v>2661.99</v>
      </c>
      <c r="AG168" s="1">
        <v>0</v>
      </c>
      <c r="AH168" s="1">
        <v>15078.91</v>
      </c>
      <c r="AI168" s="1">
        <v>0</v>
      </c>
      <c r="AJ168" s="1">
        <v>2661.99</v>
      </c>
      <c r="AK168" s="1">
        <v>0</v>
      </c>
      <c r="AL168" s="1">
        <v>3719.63</v>
      </c>
      <c r="AM168" s="9">
        <f t="shared" si="36"/>
        <v>0</v>
      </c>
      <c r="AN168" s="9">
        <f t="shared" si="37"/>
        <v>199305.94</v>
      </c>
      <c r="AO168" s="248">
        <f t="shared" si="38"/>
        <v>199305.94</v>
      </c>
      <c r="AP168" s="10"/>
      <c r="AQ168" s="10"/>
      <c r="AR168" s="10"/>
      <c r="AS168" s="10"/>
      <c r="AT168" s="163">
        <f t="shared" si="43"/>
        <v>199305.94</v>
      </c>
      <c r="AU168" s="2"/>
      <c r="AV168" s="2"/>
      <c r="AW168" s="168"/>
      <c r="AX168" s="21">
        <f t="shared" si="32"/>
        <v>-48276.45999999999</v>
      </c>
      <c r="AY168" s="26">
        <v>110052.4</v>
      </c>
    </row>
    <row r="169" spans="1:78" s="18" customFormat="1" ht="15.75">
      <c r="A169" s="1">
        <v>161</v>
      </c>
      <c r="B169" s="1" t="s">
        <v>177</v>
      </c>
      <c r="C169" s="1">
        <v>397.3</v>
      </c>
      <c r="D169" s="1">
        <v>0</v>
      </c>
      <c r="E169" s="1">
        <f t="shared" si="42"/>
        <v>397.3</v>
      </c>
      <c r="F169" s="2">
        <v>12.28</v>
      </c>
      <c r="G169" s="2">
        <f t="shared" si="33"/>
        <v>4878.844</v>
      </c>
      <c r="H169" s="2">
        <f t="shared" si="39"/>
        <v>29273.064</v>
      </c>
      <c r="I169" s="2">
        <f t="shared" si="44"/>
        <v>12.28</v>
      </c>
      <c r="J169" s="2">
        <f t="shared" si="41"/>
        <v>4878.844</v>
      </c>
      <c r="K169" s="2">
        <f t="shared" si="34"/>
        <v>29273.064</v>
      </c>
      <c r="L169" s="13">
        <f t="shared" si="40"/>
        <v>58546.128</v>
      </c>
      <c r="M169" s="139">
        <v>-36269.05</v>
      </c>
      <c r="N169" s="34">
        <f t="shared" si="35"/>
        <v>22277.077999999994</v>
      </c>
      <c r="O169" s="152">
        <v>0</v>
      </c>
      <c r="P169" s="152">
        <v>1251.06</v>
      </c>
      <c r="Q169" s="1">
        <v>0</v>
      </c>
      <c r="R169" s="1">
        <v>1416.43</v>
      </c>
      <c r="S169" s="1">
        <v>0</v>
      </c>
      <c r="T169" s="1">
        <v>2614.54</v>
      </c>
      <c r="U169" s="33">
        <v>0</v>
      </c>
      <c r="V169" s="33">
        <v>7852.77</v>
      </c>
      <c r="W169" s="1">
        <v>0</v>
      </c>
      <c r="X169" s="1">
        <v>1251.06</v>
      </c>
      <c r="Y169" s="1">
        <v>0</v>
      </c>
      <c r="Z169" s="1">
        <v>1251.06</v>
      </c>
      <c r="AA169" s="33">
        <v>0</v>
      </c>
      <c r="AB169" s="33">
        <v>4984.3</v>
      </c>
      <c r="AC169" s="33">
        <v>0</v>
      </c>
      <c r="AD169" s="33">
        <v>1251.06</v>
      </c>
      <c r="AE169" s="33">
        <v>0</v>
      </c>
      <c r="AF169" s="33">
        <v>1251.06</v>
      </c>
      <c r="AG169" s="1">
        <v>0</v>
      </c>
      <c r="AH169" s="1">
        <v>2411.47</v>
      </c>
      <c r="AI169" s="1">
        <v>0</v>
      </c>
      <c r="AJ169" s="1">
        <v>1251.06</v>
      </c>
      <c r="AK169" s="1">
        <v>0</v>
      </c>
      <c r="AL169" s="1">
        <v>1251.06</v>
      </c>
      <c r="AM169" s="9">
        <f t="shared" si="36"/>
        <v>0</v>
      </c>
      <c r="AN169" s="9">
        <f t="shared" si="37"/>
        <v>28036.930000000004</v>
      </c>
      <c r="AO169" s="248">
        <f t="shared" si="38"/>
        <v>28036.930000000004</v>
      </c>
      <c r="AP169" s="10"/>
      <c r="AQ169" s="10">
        <f>12882.65+1782.91</f>
        <v>14665.56</v>
      </c>
      <c r="AR169" s="10"/>
      <c r="AS169" s="10"/>
      <c r="AT169" s="163">
        <f t="shared" si="43"/>
        <v>42702.490000000005</v>
      </c>
      <c r="AU169" s="2"/>
      <c r="AV169" s="2">
        <f>E169*0.65+(E169*0.69)*3</f>
        <v>1080.656</v>
      </c>
      <c r="AW169" s="168"/>
      <c r="AX169" s="21">
        <f t="shared" si="32"/>
        <v>-19344.756000000012</v>
      </c>
      <c r="AY169" s="26">
        <f>141838.07+20850.9</f>
        <v>162688.97</v>
      </c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</row>
    <row r="170" spans="1:51" ht="15.75">
      <c r="A170" s="1">
        <v>162</v>
      </c>
      <c r="B170" s="1" t="s">
        <v>178</v>
      </c>
      <c r="C170" s="1">
        <v>594.5</v>
      </c>
      <c r="D170" s="1">
        <v>0</v>
      </c>
      <c r="E170" s="1">
        <f t="shared" si="42"/>
        <v>594.5</v>
      </c>
      <c r="F170" s="2">
        <v>12.28</v>
      </c>
      <c r="G170" s="2">
        <f>E170*F170</f>
        <v>7300.46</v>
      </c>
      <c r="H170" s="2">
        <f t="shared" si="39"/>
        <v>43802.76</v>
      </c>
      <c r="I170" s="2">
        <f t="shared" si="44"/>
        <v>12.28</v>
      </c>
      <c r="J170" s="2">
        <f t="shared" si="41"/>
        <v>7300.46</v>
      </c>
      <c r="K170" s="2">
        <f t="shared" si="34"/>
        <v>43802.76</v>
      </c>
      <c r="L170" s="13">
        <f t="shared" si="40"/>
        <v>87605.52</v>
      </c>
      <c r="M170" s="139"/>
      <c r="N170" s="34">
        <f t="shared" si="35"/>
        <v>87605.52</v>
      </c>
      <c r="O170" s="152">
        <v>0</v>
      </c>
      <c r="P170" s="152">
        <v>1987.87</v>
      </c>
      <c r="Q170" s="1">
        <v>0</v>
      </c>
      <c r="R170" s="1">
        <v>2070.55</v>
      </c>
      <c r="S170" s="1">
        <v>0</v>
      </c>
      <c r="T170" s="1">
        <v>4643.83</v>
      </c>
      <c r="U170" s="33">
        <v>0</v>
      </c>
      <c r="V170" s="33">
        <v>2733.24</v>
      </c>
      <c r="W170" s="1">
        <v>0</v>
      </c>
      <c r="X170" s="1">
        <v>5967.22</v>
      </c>
      <c r="Y170" s="1">
        <v>0</v>
      </c>
      <c r="Z170" s="1">
        <v>30487.87</v>
      </c>
      <c r="AA170" s="33">
        <v>0</v>
      </c>
      <c r="AB170" s="33">
        <v>20848.24</v>
      </c>
      <c r="AC170" s="33">
        <v>0</v>
      </c>
      <c r="AD170" s="33">
        <v>1987.87</v>
      </c>
      <c r="AE170" s="33">
        <v>0</v>
      </c>
      <c r="AF170" s="33">
        <v>6959.51</v>
      </c>
      <c r="AG170" s="1">
        <v>0</v>
      </c>
      <c r="AH170" s="1">
        <v>7641.82</v>
      </c>
      <c r="AI170" s="1">
        <v>0</v>
      </c>
      <c r="AJ170" s="1">
        <v>4234.91</v>
      </c>
      <c r="AK170" s="1">
        <v>0</v>
      </c>
      <c r="AL170" s="1">
        <v>6371.75</v>
      </c>
      <c r="AM170" s="9">
        <f t="shared" si="36"/>
        <v>0</v>
      </c>
      <c r="AN170" s="9">
        <f t="shared" si="37"/>
        <v>95934.68</v>
      </c>
      <c r="AO170" s="248">
        <f t="shared" si="38"/>
        <v>95934.68</v>
      </c>
      <c r="AP170" s="10"/>
      <c r="AQ170" s="10"/>
      <c r="AR170" s="10"/>
      <c r="AS170" s="10"/>
      <c r="AT170" s="163">
        <f t="shared" si="43"/>
        <v>95934.68</v>
      </c>
      <c r="AU170" s="2"/>
      <c r="AV170" s="2">
        <f>E170*0.65+(E170*0.69)*3</f>
        <v>1617.04</v>
      </c>
      <c r="AW170" s="168"/>
      <c r="AX170" s="21">
        <f t="shared" si="32"/>
        <v>-6712.119999999989</v>
      </c>
      <c r="AY170" s="26">
        <v>336186.33</v>
      </c>
    </row>
    <row r="171" spans="1:51" ht="15.75">
      <c r="A171" s="1">
        <v>163</v>
      </c>
      <c r="B171" s="1" t="s">
        <v>179</v>
      </c>
      <c r="C171" s="1">
        <v>1335.4</v>
      </c>
      <c r="D171" s="1">
        <v>0</v>
      </c>
      <c r="E171" s="1">
        <f t="shared" si="42"/>
        <v>1335.4</v>
      </c>
      <c r="F171" s="2">
        <v>13</v>
      </c>
      <c r="G171" s="2">
        <f aca="true" t="shared" si="45" ref="G171:G233">E171*F171</f>
        <v>17360.2</v>
      </c>
      <c r="H171" s="2">
        <f t="shared" si="39"/>
        <v>104161.20000000001</v>
      </c>
      <c r="I171" s="2">
        <f t="shared" si="44"/>
        <v>13</v>
      </c>
      <c r="J171" s="2">
        <f t="shared" si="41"/>
        <v>17360.2</v>
      </c>
      <c r="K171" s="2">
        <f t="shared" si="34"/>
        <v>104161.20000000001</v>
      </c>
      <c r="L171" s="13">
        <f t="shared" si="40"/>
        <v>208322.40000000002</v>
      </c>
      <c r="M171" s="139">
        <v>-181914.39</v>
      </c>
      <c r="N171" s="34">
        <f t="shared" si="35"/>
        <v>26408.01000000001</v>
      </c>
      <c r="O171" s="152">
        <v>0</v>
      </c>
      <c r="P171" s="152">
        <v>43971.98</v>
      </c>
      <c r="Q171" s="1">
        <v>0</v>
      </c>
      <c r="R171" s="1">
        <v>4151.94</v>
      </c>
      <c r="S171" s="1">
        <v>0</v>
      </c>
      <c r="T171" s="1">
        <v>9658.68</v>
      </c>
      <c r="U171" s="33">
        <v>0</v>
      </c>
      <c r="V171" s="33">
        <v>30806.78</v>
      </c>
      <c r="W171" s="1">
        <v>0</v>
      </c>
      <c r="X171" s="1">
        <v>3661.98</v>
      </c>
      <c r="Y171" s="1">
        <v>0</v>
      </c>
      <c r="Z171" s="1">
        <v>3661.98</v>
      </c>
      <c r="AA171" s="33">
        <v>0</v>
      </c>
      <c r="AB171" s="33">
        <v>3938.48</v>
      </c>
      <c r="AC171" s="33">
        <v>0</v>
      </c>
      <c r="AD171" s="33">
        <v>4815.66</v>
      </c>
      <c r="AE171" s="33">
        <v>0</v>
      </c>
      <c r="AF171" s="33">
        <v>16437.65</v>
      </c>
      <c r="AG171" s="1">
        <v>0</v>
      </c>
      <c r="AH171" s="1">
        <v>57590.76</v>
      </c>
      <c r="AI171" s="1">
        <v>0</v>
      </c>
      <c r="AJ171" s="1">
        <v>24719.75</v>
      </c>
      <c r="AK171" s="1">
        <v>0</v>
      </c>
      <c r="AL171" s="1">
        <v>30912.68</v>
      </c>
      <c r="AM171" s="9">
        <f t="shared" si="36"/>
        <v>0</v>
      </c>
      <c r="AN171" s="9">
        <f t="shared" si="37"/>
        <v>234328.32</v>
      </c>
      <c r="AO171" s="248">
        <f t="shared" si="38"/>
        <v>234328.32</v>
      </c>
      <c r="AP171" s="10"/>
      <c r="AQ171" s="10"/>
      <c r="AR171" s="10"/>
      <c r="AS171" s="10"/>
      <c r="AT171" s="163">
        <f t="shared" si="43"/>
        <v>234328.32</v>
      </c>
      <c r="AU171" s="2"/>
      <c r="AV171" s="2"/>
      <c r="AW171" s="168">
        <v>2306</v>
      </c>
      <c r="AX171" s="21">
        <f t="shared" si="32"/>
        <v>-205614.31</v>
      </c>
      <c r="AY171" s="26">
        <v>61048.38</v>
      </c>
    </row>
    <row r="172" spans="1:51" ht="15.75">
      <c r="A172" s="1">
        <v>164</v>
      </c>
      <c r="B172" s="1" t="s">
        <v>180</v>
      </c>
      <c r="C172" s="1">
        <v>466.4</v>
      </c>
      <c r="D172" s="1">
        <v>0</v>
      </c>
      <c r="E172" s="1">
        <f t="shared" si="42"/>
        <v>466.4</v>
      </c>
      <c r="F172" s="2">
        <v>8.44</v>
      </c>
      <c r="G172" s="2">
        <f t="shared" si="45"/>
        <v>3936.4159999999997</v>
      </c>
      <c r="H172" s="2">
        <f t="shared" si="39"/>
        <v>23618.496</v>
      </c>
      <c r="I172" s="2">
        <f t="shared" si="44"/>
        <v>8.44</v>
      </c>
      <c r="J172" s="2">
        <f t="shared" si="41"/>
        <v>3936.4159999999997</v>
      </c>
      <c r="K172" s="2">
        <f t="shared" si="34"/>
        <v>23618.496</v>
      </c>
      <c r="L172" s="13">
        <f t="shared" si="40"/>
        <v>47236.992</v>
      </c>
      <c r="M172" s="139">
        <v>-24229.71</v>
      </c>
      <c r="N172" s="34">
        <f t="shared" si="35"/>
        <v>23007.282</v>
      </c>
      <c r="O172" s="152">
        <v>0</v>
      </c>
      <c r="P172" s="152">
        <v>1198.65</v>
      </c>
      <c r="Q172" s="1">
        <v>0</v>
      </c>
      <c r="R172" s="1">
        <v>4253.43</v>
      </c>
      <c r="S172" s="1">
        <v>0</v>
      </c>
      <c r="T172" s="1">
        <v>15566.43</v>
      </c>
      <c r="U172" s="33">
        <v>0</v>
      </c>
      <c r="V172" s="33">
        <v>1778.65</v>
      </c>
      <c r="W172" s="1">
        <v>0</v>
      </c>
      <c r="X172" s="1">
        <v>1198.65</v>
      </c>
      <c r="Y172" s="1">
        <v>0</v>
      </c>
      <c r="Z172" s="1">
        <v>1198.65</v>
      </c>
      <c r="AA172" s="33">
        <v>0</v>
      </c>
      <c r="AB172" s="33">
        <v>1198.65</v>
      </c>
      <c r="AC172" s="33">
        <v>0</v>
      </c>
      <c r="AD172" s="33">
        <v>23566.23</v>
      </c>
      <c r="AE172" s="33">
        <v>0</v>
      </c>
      <c r="AF172" s="33">
        <v>1198.65</v>
      </c>
      <c r="AG172" s="1">
        <v>0</v>
      </c>
      <c r="AH172" s="1">
        <v>2359.06</v>
      </c>
      <c r="AI172" s="1">
        <v>0</v>
      </c>
      <c r="AJ172" s="1">
        <v>1198.65</v>
      </c>
      <c r="AK172" s="1">
        <v>0</v>
      </c>
      <c r="AL172" s="1">
        <v>4665.49</v>
      </c>
      <c r="AM172" s="9">
        <f t="shared" si="36"/>
        <v>0</v>
      </c>
      <c r="AN172" s="9">
        <f t="shared" si="37"/>
        <v>59381.19000000001</v>
      </c>
      <c r="AO172" s="248">
        <f t="shared" si="38"/>
        <v>59381.19000000001</v>
      </c>
      <c r="AP172" s="10"/>
      <c r="AQ172" s="10">
        <v>3276</v>
      </c>
      <c r="AR172" s="10"/>
      <c r="AS172" s="10"/>
      <c r="AT172" s="163">
        <f>AO172+AP172+AQ172+AR172+AS172</f>
        <v>62657.19000000001</v>
      </c>
      <c r="AU172" s="2"/>
      <c r="AV172" s="2">
        <f>E172*0.65+(E172*0.69)*3</f>
        <v>1268.6079999999997</v>
      </c>
      <c r="AW172" s="168"/>
      <c r="AX172" s="21">
        <f t="shared" si="32"/>
        <v>-38381.30000000001</v>
      </c>
      <c r="AY172" s="26">
        <v>22674.39</v>
      </c>
    </row>
    <row r="173" spans="1:51" ht="15.75">
      <c r="A173" s="1">
        <v>165</v>
      </c>
      <c r="B173" s="1" t="s">
        <v>181</v>
      </c>
      <c r="C173" s="1">
        <v>606.2</v>
      </c>
      <c r="D173" s="1">
        <v>1164.5</v>
      </c>
      <c r="E173" s="1">
        <f t="shared" si="42"/>
        <v>1770.7</v>
      </c>
      <c r="F173" s="2">
        <v>13.3</v>
      </c>
      <c r="G173" s="2">
        <f t="shared" si="45"/>
        <v>23550.31</v>
      </c>
      <c r="H173" s="2">
        <f t="shared" si="39"/>
        <v>141301.86000000002</v>
      </c>
      <c r="I173" s="2">
        <f t="shared" si="44"/>
        <v>13.3</v>
      </c>
      <c r="J173" s="2">
        <f t="shared" si="41"/>
        <v>23550.31</v>
      </c>
      <c r="K173" s="2">
        <f t="shared" si="34"/>
        <v>141301.86000000002</v>
      </c>
      <c r="L173" s="13">
        <f t="shared" si="40"/>
        <v>282603.72000000003</v>
      </c>
      <c r="M173" s="139"/>
      <c r="N173" s="34">
        <f t="shared" si="35"/>
        <v>282603.72000000003</v>
      </c>
      <c r="O173" s="152">
        <v>0</v>
      </c>
      <c r="P173" s="152">
        <v>44860.7</v>
      </c>
      <c r="Q173" s="1">
        <v>0</v>
      </c>
      <c r="R173" s="1">
        <v>29849.16</v>
      </c>
      <c r="S173" s="1">
        <v>0</v>
      </c>
      <c r="T173" s="1">
        <v>6358.99</v>
      </c>
      <c r="U173" s="33">
        <v>0</v>
      </c>
      <c r="V173" s="33">
        <v>14165.45</v>
      </c>
      <c r="W173" s="1">
        <v>0</v>
      </c>
      <c r="X173" s="1">
        <v>4550.7</v>
      </c>
      <c r="Y173" s="1">
        <v>0</v>
      </c>
      <c r="Z173" s="1">
        <v>4550.7</v>
      </c>
      <c r="AA173" s="33">
        <v>0</v>
      </c>
      <c r="AB173" s="33">
        <v>76844.7</v>
      </c>
      <c r="AC173" s="33">
        <v>0</v>
      </c>
      <c r="AD173" s="33">
        <v>4550.7</v>
      </c>
      <c r="AE173" s="33">
        <v>0</v>
      </c>
      <c r="AF173" s="33">
        <v>4550.7</v>
      </c>
      <c r="AG173" s="1">
        <v>0</v>
      </c>
      <c r="AH173" s="1">
        <v>5711.11</v>
      </c>
      <c r="AI173" s="1">
        <v>0</v>
      </c>
      <c r="AJ173" s="1">
        <v>6290.7</v>
      </c>
      <c r="AK173" s="1">
        <v>0</v>
      </c>
      <c r="AL173" s="1">
        <v>15860.08</v>
      </c>
      <c r="AM173" s="9">
        <f t="shared" si="36"/>
        <v>0</v>
      </c>
      <c r="AN173" s="9">
        <f t="shared" si="37"/>
        <v>218143.69</v>
      </c>
      <c r="AO173" s="248">
        <f t="shared" si="38"/>
        <v>218143.69</v>
      </c>
      <c r="AP173" s="10"/>
      <c r="AQ173" s="10"/>
      <c r="AR173" s="10"/>
      <c r="AS173" s="10"/>
      <c r="AT173" s="163">
        <f t="shared" si="43"/>
        <v>218143.69</v>
      </c>
      <c r="AU173" s="2"/>
      <c r="AV173" s="2"/>
      <c r="AW173" s="168">
        <v>4128</v>
      </c>
      <c r="AX173" s="21">
        <f t="shared" si="32"/>
        <v>68588.03000000003</v>
      </c>
      <c r="AY173" s="26">
        <v>27557.33</v>
      </c>
    </row>
    <row r="174" spans="1:51" ht="15.75">
      <c r="A174" s="1">
        <v>166</v>
      </c>
      <c r="B174" s="1" t="s">
        <v>182</v>
      </c>
      <c r="C174" s="1">
        <v>396.5</v>
      </c>
      <c r="D174" s="1">
        <v>0</v>
      </c>
      <c r="E174" s="1">
        <f t="shared" si="42"/>
        <v>396.5</v>
      </c>
      <c r="F174" s="2">
        <v>12.28</v>
      </c>
      <c r="G174" s="2">
        <f t="shared" si="45"/>
        <v>4869.0199999999995</v>
      </c>
      <c r="H174" s="2">
        <f t="shared" si="39"/>
        <v>29214.119999999995</v>
      </c>
      <c r="I174" s="2">
        <f t="shared" si="44"/>
        <v>12.28</v>
      </c>
      <c r="J174" s="2">
        <f t="shared" si="41"/>
        <v>4869.0199999999995</v>
      </c>
      <c r="K174" s="2">
        <f t="shared" si="34"/>
        <v>29214.119999999995</v>
      </c>
      <c r="L174" s="13">
        <f t="shared" si="40"/>
        <v>58428.23999999999</v>
      </c>
      <c r="M174" s="139"/>
      <c r="N174" s="34">
        <f t="shared" si="35"/>
        <v>58428.23999999999</v>
      </c>
      <c r="O174" s="152">
        <v>0</v>
      </c>
      <c r="P174" s="152">
        <v>1019.01</v>
      </c>
      <c r="Q174" s="1">
        <v>0</v>
      </c>
      <c r="R174" s="1">
        <v>1019.01</v>
      </c>
      <c r="S174" s="1">
        <v>0</v>
      </c>
      <c r="T174" s="1">
        <v>1019.01</v>
      </c>
      <c r="U174" s="33">
        <v>0</v>
      </c>
      <c r="V174" s="33">
        <v>9881.58</v>
      </c>
      <c r="W174" s="1">
        <v>0</v>
      </c>
      <c r="X174" s="1">
        <v>3720.74</v>
      </c>
      <c r="Y174" s="1">
        <v>0</v>
      </c>
      <c r="Z174" s="1">
        <v>1019.01</v>
      </c>
      <c r="AA174" s="33">
        <v>0</v>
      </c>
      <c r="AB174" s="33">
        <v>1841.51</v>
      </c>
      <c r="AC174" s="33">
        <v>0</v>
      </c>
      <c r="AD174" s="33">
        <v>20969.01</v>
      </c>
      <c r="AE174" s="33">
        <v>0</v>
      </c>
      <c r="AF174" s="33">
        <v>20531.13</v>
      </c>
      <c r="AG174" s="1">
        <v>0</v>
      </c>
      <c r="AH174" s="1">
        <v>2179.42</v>
      </c>
      <c r="AI174" s="1">
        <v>0</v>
      </c>
      <c r="AJ174" s="1">
        <v>5886.2</v>
      </c>
      <c r="AK174" s="1">
        <v>0</v>
      </c>
      <c r="AL174" s="1">
        <v>4485.85</v>
      </c>
      <c r="AM174" s="9">
        <f t="shared" si="36"/>
        <v>0</v>
      </c>
      <c r="AN174" s="9">
        <f t="shared" si="37"/>
        <v>73571.48</v>
      </c>
      <c r="AO174" s="248">
        <f t="shared" si="38"/>
        <v>73571.48</v>
      </c>
      <c r="AP174" s="10"/>
      <c r="AQ174" s="10"/>
      <c r="AR174" s="10"/>
      <c r="AS174" s="10"/>
      <c r="AT174" s="163">
        <f t="shared" si="43"/>
        <v>73571.48</v>
      </c>
      <c r="AU174" s="2"/>
      <c r="AV174" s="2">
        <f>E174*0.65+(E174*0.69)*3</f>
        <v>1078.48</v>
      </c>
      <c r="AW174" s="168"/>
      <c r="AX174" s="21">
        <f t="shared" si="32"/>
        <v>-14064.760000000006</v>
      </c>
      <c r="AY174" s="26">
        <v>248668.84</v>
      </c>
    </row>
    <row r="175" spans="1:51" ht="15.75">
      <c r="A175" s="1">
        <v>167</v>
      </c>
      <c r="B175" s="1" t="s">
        <v>183</v>
      </c>
      <c r="C175" s="1">
        <v>1170.9</v>
      </c>
      <c r="D175" s="1">
        <v>183.1</v>
      </c>
      <c r="E175" s="1">
        <f t="shared" si="42"/>
        <v>1354</v>
      </c>
      <c r="F175" s="2">
        <v>13</v>
      </c>
      <c r="G175" s="2">
        <f t="shared" si="45"/>
        <v>17602</v>
      </c>
      <c r="H175" s="2">
        <f t="shared" si="39"/>
        <v>105612</v>
      </c>
      <c r="I175" s="2">
        <f t="shared" si="44"/>
        <v>13</v>
      </c>
      <c r="J175" s="2">
        <f t="shared" si="41"/>
        <v>17602</v>
      </c>
      <c r="K175" s="2">
        <f t="shared" si="34"/>
        <v>105612</v>
      </c>
      <c r="L175" s="13">
        <f t="shared" si="40"/>
        <v>211224</v>
      </c>
      <c r="M175" s="139"/>
      <c r="N175" s="34">
        <f t="shared" si="35"/>
        <v>211224</v>
      </c>
      <c r="O175" s="152">
        <v>0</v>
      </c>
      <c r="P175" s="152">
        <v>56811.58</v>
      </c>
      <c r="Q175" s="1">
        <v>0</v>
      </c>
      <c r="R175" s="1">
        <v>36863.01</v>
      </c>
      <c r="S175" s="1">
        <v>0</v>
      </c>
      <c r="T175" s="1">
        <v>14412.68</v>
      </c>
      <c r="U175" s="33">
        <v>0</v>
      </c>
      <c r="V175" s="33">
        <v>23790.65</v>
      </c>
      <c r="W175" s="1">
        <v>0</v>
      </c>
      <c r="X175" s="1">
        <v>7758.42</v>
      </c>
      <c r="Y175" s="1">
        <v>0</v>
      </c>
      <c r="Z175" s="1">
        <v>7758.42</v>
      </c>
      <c r="AA175" s="33">
        <v>0</v>
      </c>
      <c r="AB175" s="33">
        <v>7758.42</v>
      </c>
      <c r="AC175" s="33">
        <v>0</v>
      </c>
      <c r="AD175" s="33">
        <v>7758.42</v>
      </c>
      <c r="AE175" s="33">
        <v>0</v>
      </c>
      <c r="AF175" s="33">
        <v>15751.27</v>
      </c>
      <c r="AG175" s="1">
        <v>0</v>
      </c>
      <c r="AH175" s="1">
        <v>12100.71</v>
      </c>
      <c r="AI175" s="1">
        <v>0</v>
      </c>
      <c r="AJ175" s="1">
        <v>82158.42</v>
      </c>
      <c r="AK175" s="1">
        <v>0</v>
      </c>
      <c r="AL175" s="1">
        <v>39989.74</v>
      </c>
      <c r="AM175" s="9">
        <f t="shared" si="36"/>
        <v>0</v>
      </c>
      <c r="AN175" s="9">
        <f t="shared" si="37"/>
        <v>312911.74</v>
      </c>
      <c r="AO175" s="248">
        <f t="shared" si="38"/>
        <v>312911.74</v>
      </c>
      <c r="AP175" s="10"/>
      <c r="AQ175" s="10"/>
      <c r="AR175" s="10"/>
      <c r="AS175" s="10"/>
      <c r="AT175" s="163">
        <f t="shared" si="43"/>
        <v>312911.74</v>
      </c>
      <c r="AU175" s="2"/>
      <c r="AV175" s="2"/>
      <c r="AW175" s="168">
        <v>13826</v>
      </c>
      <c r="AX175" s="21">
        <f t="shared" si="32"/>
        <v>-87861.73999999999</v>
      </c>
      <c r="AY175" s="26">
        <v>99383.44</v>
      </c>
    </row>
    <row r="176" spans="1:51" ht="15.75">
      <c r="A176" s="1">
        <v>168</v>
      </c>
      <c r="B176" s="1" t="s">
        <v>184</v>
      </c>
      <c r="C176" s="1">
        <v>418.2</v>
      </c>
      <c r="D176" s="1">
        <v>57.6</v>
      </c>
      <c r="E176" s="1">
        <f t="shared" si="42"/>
        <v>475.8</v>
      </c>
      <c r="F176" s="2">
        <v>13</v>
      </c>
      <c r="G176" s="2">
        <f t="shared" si="45"/>
        <v>6185.400000000001</v>
      </c>
      <c r="H176" s="2">
        <f t="shared" si="39"/>
        <v>37112.4</v>
      </c>
      <c r="I176" s="2">
        <f t="shared" si="44"/>
        <v>13</v>
      </c>
      <c r="J176" s="2">
        <f t="shared" si="41"/>
        <v>6185.400000000001</v>
      </c>
      <c r="K176" s="2">
        <f t="shared" si="34"/>
        <v>37112.4</v>
      </c>
      <c r="L176" s="13">
        <f t="shared" si="40"/>
        <v>74224.8</v>
      </c>
      <c r="M176" s="139"/>
      <c r="N176" s="34">
        <f t="shared" si="35"/>
        <v>74224.8</v>
      </c>
      <c r="O176" s="152">
        <v>0</v>
      </c>
      <c r="P176" s="152">
        <v>10131.67</v>
      </c>
      <c r="Q176" s="1">
        <v>0</v>
      </c>
      <c r="R176" s="1">
        <v>2031.67</v>
      </c>
      <c r="S176" s="1">
        <v>0</v>
      </c>
      <c r="T176" s="1">
        <v>2031.67</v>
      </c>
      <c r="U176" s="33">
        <v>0</v>
      </c>
      <c r="V176" s="33">
        <v>2611.67</v>
      </c>
      <c r="W176" s="1">
        <v>0</v>
      </c>
      <c r="X176" s="1">
        <v>2726.33</v>
      </c>
      <c r="Y176" s="1">
        <v>0</v>
      </c>
      <c r="Z176" s="1">
        <v>2726.33</v>
      </c>
      <c r="AA176" s="33">
        <v>0</v>
      </c>
      <c r="AB176" s="33">
        <v>38126.33</v>
      </c>
      <c r="AC176" s="33">
        <v>0</v>
      </c>
      <c r="AD176" s="33">
        <v>2726.33</v>
      </c>
      <c r="AE176" s="33">
        <v>0</v>
      </c>
      <c r="AF176" s="33">
        <v>2726.33</v>
      </c>
      <c r="AG176" s="1">
        <v>0</v>
      </c>
      <c r="AH176" s="1">
        <v>3192.08</v>
      </c>
      <c r="AI176" s="1">
        <v>0</v>
      </c>
      <c r="AJ176" s="1">
        <v>2031.67</v>
      </c>
      <c r="AK176" s="1">
        <v>0</v>
      </c>
      <c r="AL176" s="1">
        <v>2216.47</v>
      </c>
      <c r="AM176" s="9">
        <f t="shared" si="36"/>
        <v>0</v>
      </c>
      <c r="AN176" s="9">
        <f t="shared" si="37"/>
        <v>73278.55</v>
      </c>
      <c r="AO176" s="248">
        <f t="shared" si="38"/>
        <v>73278.55</v>
      </c>
      <c r="AP176" s="10"/>
      <c r="AQ176" s="10"/>
      <c r="AR176" s="10"/>
      <c r="AS176" s="10"/>
      <c r="AT176" s="163">
        <f t="shared" si="43"/>
        <v>73278.55</v>
      </c>
      <c r="AU176" s="2"/>
      <c r="AV176" s="2"/>
      <c r="AW176" s="168"/>
      <c r="AX176" s="21">
        <f t="shared" si="32"/>
        <v>946.25</v>
      </c>
      <c r="AY176" s="26">
        <v>79433.53</v>
      </c>
    </row>
    <row r="177" spans="1:51" ht="15.75">
      <c r="A177" s="1">
        <v>169</v>
      </c>
      <c r="B177" s="1" t="s">
        <v>318</v>
      </c>
      <c r="C177" s="1">
        <v>508</v>
      </c>
      <c r="D177" s="1">
        <v>0</v>
      </c>
      <c r="E177" s="1">
        <f t="shared" si="42"/>
        <v>508</v>
      </c>
      <c r="F177" s="2">
        <v>8.39</v>
      </c>
      <c r="G177" s="2">
        <f t="shared" si="45"/>
        <v>4262.12</v>
      </c>
      <c r="H177" s="2">
        <f t="shared" si="39"/>
        <v>25572.72</v>
      </c>
      <c r="I177" s="2">
        <f t="shared" si="44"/>
        <v>8.39</v>
      </c>
      <c r="J177" s="2">
        <f t="shared" si="41"/>
        <v>4262.12</v>
      </c>
      <c r="K177" s="2">
        <f t="shared" si="34"/>
        <v>25572.72</v>
      </c>
      <c r="L177" s="13">
        <f t="shared" si="40"/>
        <v>51145.44</v>
      </c>
      <c r="M177" s="139"/>
      <c r="N177" s="34">
        <f t="shared" si="35"/>
        <v>51145.44</v>
      </c>
      <c r="O177" s="152">
        <v>0</v>
      </c>
      <c r="P177" s="152">
        <v>1305.56</v>
      </c>
      <c r="Q177" s="1">
        <v>0</v>
      </c>
      <c r="R177" s="1">
        <v>1305.56</v>
      </c>
      <c r="S177" s="1">
        <v>0</v>
      </c>
      <c r="T177" s="1">
        <v>1305.56</v>
      </c>
      <c r="U177" s="33">
        <v>0</v>
      </c>
      <c r="V177" s="33">
        <v>1885.56</v>
      </c>
      <c r="W177" s="1">
        <v>0</v>
      </c>
      <c r="X177" s="1">
        <v>1305.56</v>
      </c>
      <c r="Y177" s="1">
        <v>0</v>
      </c>
      <c r="Z177" s="1">
        <v>1305.56</v>
      </c>
      <c r="AA177" s="33">
        <v>0</v>
      </c>
      <c r="AB177" s="33">
        <v>1305.56</v>
      </c>
      <c r="AC177" s="33">
        <v>0</v>
      </c>
      <c r="AD177" s="33">
        <v>1305.56</v>
      </c>
      <c r="AE177" s="33">
        <v>0</v>
      </c>
      <c r="AF177" s="33">
        <v>1305.56</v>
      </c>
      <c r="AG177" s="1">
        <v>0</v>
      </c>
      <c r="AH177" s="1">
        <v>1941.22</v>
      </c>
      <c r="AI177" s="1">
        <v>0</v>
      </c>
      <c r="AJ177" s="1">
        <v>1305.56</v>
      </c>
      <c r="AK177" s="1">
        <v>0</v>
      </c>
      <c r="AL177" s="1">
        <v>1305.56</v>
      </c>
      <c r="AM177" s="9">
        <f t="shared" si="36"/>
        <v>0</v>
      </c>
      <c r="AN177" s="9">
        <f t="shared" si="37"/>
        <v>16882.379999999997</v>
      </c>
      <c r="AO177" s="248">
        <f t="shared" si="38"/>
        <v>16882.379999999997</v>
      </c>
      <c r="AP177" s="10"/>
      <c r="AQ177" s="10"/>
      <c r="AR177" s="10"/>
      <c r="AS177" s="10"/>
      <c r="AT177" s="163">
        <f t="shared" si="43"/>
        <v>16882.379999999997</v>
      </c>
      <c r="AU177" s="2"/>
      <c r="AV177" s="2"/>
      <c r="AW177" s="168"/>
      <c r="AX177" s="21">
        <f t="shared" si="32"/>
        <v>34263.060000000005</v>
      </c>
      <c r="AY177" s="26">
        <f>192388.64+37062.93</f>
        <v>229451.57</v>
      </c>
    </row>
    <row r="178" spans="1:51" ht="15.75">
      <c r="A178" s="1">
        <v>170</v>
      </c>
      <c r="B178" s="1" t="s">
        <v>185</v>
      </c>
      <c r="C178" s="1">
        <v>600.6</v>
      </c>
      <c r="D178" s="1">
        <v>0</v>
      </c>
      <c r="E178" s="1">
        <f t="shared" si="42"/>
        <v>600.6</v>
      </c>
      <c r="F178" s="2">
        <v>13</v>
      </c>
      <c r="G178" s="2">
        <f t="shared" si="45"/>
        <v>7807.8</v>
      </c>
      <c r="H178" s="2">
        <f t="shared" si="39"/>
        <v>46846.8</v>
      </c>
      <c r="I178" s="2">
        <f t="shared" si="44"/>
        <v>13</v>
      </c>
      <c r="J178" s="2">
        <f t="shared" si="41"/>
        <v>7807.8</v>
      </c>
      <c r="K178" s="2">
        <f t="shared" si="34"/>
        <v>46846.8</v>
      </c>
      <c r="L178" s="13">
        <f t="shared" si="40"/>
        <v>93693.6</v>
      </c>
      <c r="M178" s="139"/>
      <c r="N178" s="34">
        <f t="shared" si="35"/>
        <v>93693.6</v>
      </c>
      <c r="O178" s="152">
        <v>0</v>
      </c>
      <c r="P178" s="152">
        <v>1543.54</v>
      </c>
      <c r="Q178" s="1">
        <v>0</v>
      </c>
      <c r="R178" s="1">
        <v>1543.54</v>
      </c>
      <c r="S178" s="1">
        <v>0</v>
      </c>
      <c r="T178" s="1">
        <v>2033.5</v>
      </c>
      <c r="U178" s="33">
        <v>0</v>
      </c>
      <c r="V178" s="33">
        <v>15578.03</v>
      </c>
      <c r="W178" s="1">
        <v>0</v>
      </c>
      <c r="X178" s="1">
        <v>3943.8</v>
      </c>
      <c r="Y178" s="1">
        <v>0</v>
      </c>
      <c r="Z178" s="1">
        <v>1543.54</v>
      </c>
      <c r="AA178" s="33">
        <v>0</v>
      </c>
      <c r="AB178" s="33">
        <v>3173.66</v>
      </c>
      <c r="AC178" s="33">
        <v>0</v>
      </c>
      <c r="AD178" s="33">
        <v>2286.04</v>
      </c>
      <c r="AE178" s="33">
        <v>0</v>
      </c>
      <c r="AF178" s="33">
        <v>3996.68</v>
      </c>
      <c r="AG178" s="1">
        <v>0</v>
      </c>
      <c r="AH178" s="1">
        <v>2703.95</v>
      </c>
      <c r="AI178" s="1">
        <v>0</v>
      </c>
      <c r="AJ178" s="1">
        <v>1543.54</v>
      </c>
      <c r="AK178" s="1">
        <v>0</v>
      </c>
      <c r="AL178" s="1">
        <v>1913.15</v>
      </c>
      <c r="AM178" s="9">
        <f t="shared" si="36"/>
        <v>0</v>
      </c>
      <c r="AN178" s="9">
        <f t="shared" si="37"/>
        <v>41802.97</v>
      </c>
      <c r="AO178" s="248">
        <f t="shared" si="38"/>
        <v>41802.97</v>
      </c>
      <c r="AP178" s="10"/>
      <c r="AQ178" s="10"/>
      <c r="AR178" s="10"/>
      <c r="AS178" s="10"/>
      <c r="AT178" s="163">
        <f t="shared" si="43"/>
        <v>41802.97</v>
      </c>
      <c r="AU178" s="2"/>
      <c r="AV178" s="2"/>
      <c r="AW178" s="168"/>
      <c r="AX178" s="21">
        <f t="shared" si="32"/>
        <v>51890.630000000005</v>
      </c>
      <c r="AY178" s="26">
        <v>33237.81</v>
      </c>
    </row>
    <row r="179" spans="1:51" ht="15.75">
      <c r="A179" s="1">
        <v>171</v>
      </c>
      <c r="B179" s="1" t="s">
        <v>319</v>
      </c>
      <c r="C179" s="1">
        <v>470.4</v>
      </c>
      <c r="D179" s="1">
        <v>0</v>
      </c>
      <c r="E179" s="1">
        <f t="shared" si="42"/>
        <v>470.4</v>
      </c>
      <c r="F179" s="2">
        <v>8.39</v>
      </c>
      <c r="G179" s="2">
        <f t="shared" si="45"/>
        <v>3946.656</v>
      </c>
      <c r="H179" s="2">
        <f t="shared" si="39"/>
        <v>23679.936</v>
      </c>
      <c r="I179" s="2">
        <f t="shared" si="44"/>
        <v>8.39</v>
      </c>
      <c r="J179" s="2">
        <f t="shared" si="41"/>
        <v>3946.656</v>
      </c>
      <c r="K179" s="2">
        <f t="shared" si="34"/>
        <v>23679.936</v>
      </c>
      <c r="L179" s="13">
        <f t="shared" si="40"/>
        <v>47359.872</v>
      </c>
      <c r="M179" s="139">
        <v>-174730.35</v>
      </c>
      <c r="N179" s="34">
        <f t="shared" si="35"/>
        <v>-127370.478</v>
      </c>
      <c r="O179" s="152">
        <v>0</v>
      </c>
      <c r="P179" s="152">
        <v>1208.93</v>
      </c>
      <c r="Q179" s="1">
        <v>0</v>
      </c>
      <c r="R179" s="1">
        <v>1208.93</v>
      </c>
      <c r="S179" s="1">
        <v>0</v>
      </c>
      <c r="T179" s="1">
        <v>3154.65</v>
      </c>
      <c r="U179" s="33">
        <v>0</v>
      </c>
      <c r="V179" s="33">
        <v>1788.93</v>
      </c>
      <c r="W179" s="1">
        <v>0</v>
      </c>
      <c r="X179" s="1">
        <v>1208.93</v>
      </c>
      <c r="Y179" s="1">
        <v>0</v>
      </c>
      <c r="Z179" s="1">
        <v>1208.93</v>
      </c>
      <c r="AA179" s="33">
        <v>0</v>
      </c>
      <c r="AB179" s="33">
        <v>1208.93</v>
      </c>
      <c r="AC179" s="33">
        <v>0</v>
      </c>
      <c r="AD179" s="33">
        <v>1208.93</v>
      </c>
      <c r="AE179" s="33">
        <v>0</v>
      </c>
      <c r="AF179" s="33">
        <v>1208.93</v>
      </c>
      <c r="AG179" s="1">
        <v>0</v>
      </c>
      <c r="AH179" s="1">
        <v>1844.59</v>
      </c>
      <c r="AI179" s="1">
        <v>0</v>
      </c>
      <c r="AJ179" s="1">
        <v>1208.93</v>
      </c>
      <c r="AK179" s="1">
        <v>0</v>
      </c>
      <c r="AL179" s="1">
        <v>1208.93</v>
      </c>
      <c r="AM179" s="9">
        <f t="shared" si="36"/>
        <v>0</v>
      </c>
      <c r="AN179" s="9">
        <f t="shared" si="37"/>
        <v>17668.54</v>
      </c>
      <c r="AO179" s="248">
        <f t="shared" si="38"/>
        <v>17668.54</v>
      </c>
      <c r="AP179" s="10"/>
      <c r="AQ179" s="10"/>
      <c r="AR179" s="10"/>
      <c r="AS179" s="10"/>
      <c r="AT179" s="163">
        <f t="shared" si="43"/>
        <v>17668.54</v>
      </c>
      <c r="AU179" s="2"/>
      <c r="AV179" s="2"/>
      <c r="AW179" s="168"/>
      <c r="AX179" s="21">
        <f t="shared" si="32"/>
        <v>-145039.018</v>
      </c>
      <c r="AY179" s="26">
        <f>66088.93+92232.84</f>
        <v>158321.77</v>
      </c>
    </row>
    <row r="180" spans="1:51" ht="15.75">
      <c r="A180" s="1">
        <v>172</v>
      </c>
      <c r="B180" s="1" t="s">
        <v>186</v>
      </c>
      <c r="C180" s="1">
        <v>471.2</v>
      </c>
      <c r="D180" s="1">
        <v>0</v>
      </c>
      <c r="E180" s="1">
        <f t="shared" si="42"/>
        <v>471.2</v>
      </c>
      <c r="F180" s="2">
        <v>9.16</v>
      </c>
      <c r="G180" s="2">
        <f t="shared" si="45"/>
        <v>4316.192</v>
      </c>
      <c r="H180" s="2">
        <f t="shared" si="39"/>
        <v>25897.152000000002</v>
      </c>
      <c r="I180" s="2">
        <f t="shared" si="44"/>
        <v>9.16</v>
      </c>
      <c r="J180" s="2">
        <f t="shared" si="41"/>
        <v>4316.192</v>
      </c>
      <c r="K180" s="2">
        <f t="shared" si="34"/>
        <v>25897.152000000002</v>
      </c>
      <c r="L180" s="13">
        <f t="shared" si="40"/>
        <v>51794.304000000004</v>
      </c>
      <c r="M180" s="139">
        <v>-21376.98</v>
      </c>
      <c r="N180" s="34">
        <f t="shared" si="35"/>
        <v>30417.324000000004</v>
      </c>
      <c r="O180" s="152">
        <v>0</v>
      </c>
      <c r="P180" s="152">
        <v>1210.21</v>
      </c>
      <c r="Q180" s="1">
        <v>0</v>
      </c>
      <c r="R180" s="1">
        <v>30409.21</v>
      </c>
      <c r="S180" s="1">
        <v>0</v>
      </c>
      <c r="T180" s="1">
        <v>1210.21</v>
      </c>
      <c r="U180" s="33">
        <v>0</v>
      </c>
      <c r="V180" s="33">
        <v>1790.21</v>
      </c>
      <c r="W180" s="1">
        <v>0</v>
      </c>
      <c r="X180" s="1">
        <v>4423.3</v>
      </c>
      <c r="Y180" s="1">
        <v>0</v>
      </c>
      <c r="Z180" s="1">
        <v>7860.21</v>
      </c>
      <c r="AA180" s="33">
        <v>0</v>
      </c>
      <c r="AB180" s="33">
        <v>1210.21</v>
      </c>
      <c r="AC180" s="33">
        <v>0</v>
      </c>
      <c r="AD180" s="33">
        <v>1787.71</v>
      </c>
      <c r="AE180" s="33">
        <v>0</v>
      </c>
      <c r="AF180" s="33">
        <v>1210.21</v>
      </c>
      <c r="AG180" s="1">
        <v>0</v>
      </c>
      <c r="AH180" s="1">
        <v>2370.62</v>
      </c>
      <c r="AI180" s="1">
        <v>0</v>
      </c>
      <c r="AJ180" s="1">
        <v>1210.21</v>
      </c>
      <c r="AK180" s="1">
        <v>0</v>
      </c>
      <c r="AL180" s="1">
        <v>1210.21</v>
      </c>
      <c r="AM180" s="9">
        <f t="shared" si="36"/>
        <v>0</v>
      </c>
      <c r="AN180" s="9">
        <f t="shared" si="37"/>
        <v>55902.52</v>
      </c>
      <c r="AO180" s="248">
        <f t="shared" si="38"/>
        <v>55902.52</v>
      </c>
      <c r="AP180" s="10"/>
      <c r="AQ180" s="10"/>
      <c r="AR180" s="10"/>
      <c r="AS180" s="10"/>
      <c r="AT180" s="163">
        <f t="shared" si="43"/>
        <v>55902.52</v>
      </c>
      <c r="AU180" s="2"/>
      <c r="AV180" s="2"/>
      <c r="AW180" s="168"/>
      <c r="AX180" s="21">
        <f t="shared" si="32"/>
        <v>-25485.195999999993</v>
      </c>
      <c r="AY180" s="26">
        <v>6813.52</v>
      </c>
    </row>
    <row r="181" spans="1:51" ht="15.75">
      <c r="A181" s="1">
        <v>173</v>
      </c>
      <c r="B181" s="101" t="s">
        <v>470</v>
      </c>
      <c r="C181" s="1">
        <v>514.1</v>
      </c>
      <c r="D181" s="1">
        <v>0</v>
      </c>
      <c r="E181" s="1">
        <f t="shared" si="42"/>
        <v>514.1</v>
      </c>
      <c r="F181" s="2">
        <v>8.39</v>
      </c>
      <c r="G181" s="2">
        <f t="shared" si="45"/>
        <v>4313.299000000001</v>
      </c>
      <c r="H181" s="2">
        <f t="shared" si="39"/>
        <v>25879.794000000005</v>
      </c>
      <c r="I181" s="2">
        <f t="shared" si="44"/>
        <v>8.39</v>
      </c>
      <c r="J181" s="2">
        <f t="shared" si="41"/>
        <v>4313.299000000001</v>
      </c>
      <c r="K181" s="143">
        <f>J181*5</f>
        <v>21566.495000000003</v>
      </c>
      <c r="L181" s="186">
        <f t="shared" si="40"/>
        <v>47446.289000000004</v>
      </c>
      <c r="M181" s="139"/>
      <c r="N181" s="34">
        <f t="shared" si="35"/>
        <v>47446.289000000004</v>
      </c>
      <c r="O181" s="152">
        <v>0</v>
      </c>
      <c r="P181" s="152">
        <v>3266.96</v>
      </c>
      <c r="Q181" s="1">
        <v>0</v>
      </c>
      <c r="R181" s="1">
        <v>1321.24</v>
      </c>
      <c r="S181" s="1">
        <v>0</v>
      </c>
      <c r="T181" s="1">
        <v>1321.24</v>
      </c>
      <c r="U181" s="33">
        <v>0</v>
      </c>
      <c r="V181" s="33">
        <v>1901.24</v>
      </c>
      <c r="W181" s="1">
        <v>0</v>
      </c>
      <c r="X181" s="1">
        <v>1321.24</v>
      </c>
      <c r="Y181" s="1">
        <v>0</v>
      </c>
      <c r="Z181" s="1">
        <v>1321.24</v>
      </c>
      <c r="AA181" s="33">
        <v>0</v>
      </c>
      <c r="AB181" s="33">
        <v>1321.24</v>
      </c>
      <c r="AC181" s="33">
        <v>0</v>
      </c>
      <c r="AD181" s="33">
        <v>1321.24</v>
      </c>
      <c r="AE181" s="33">
        <v>0</v>
      </c>
      <c r="AF181" s="33">
        <v>1321.24</v>
      </c>
      <c r="AG181" s="1">
        <v>0</v>
      </c>
      <c r="AH181" s="1">
        <v>1956.9</v>
      </c>
      <c r="AI181" s="1">
        <v>0</v>
      </c>
      <c r="AJ181" s="1">
        <v>1321.24</v>
      </c>
      <c r="AK181" s="1">
        <v>0</v>
      </c>
      <c r="AL181" s="1">
        <v>0</v>
      </c>
      <c r="AM181" s="9">
        <f t="shared" si="36"/>
        <v>0</v>
      </c>
      <c r="AN181" s="9">
        <f t="shared" si="37"/>
        <v>17695.02</v>
      </c>
      <c r="AO181" s="248">
        <f t="shared" si="38"/>
        <v>17695.02</v>
      </c>
      <c r="AP181" s="10"/>
      <c r="AQ181" s="10"/>
      <c r="AR181" s="10"/>
      <c r="AS181" s="10"/>
      <c r="AT181" s="163">
        <f t="shared" si="43"/>
        <v>17695.02</v>
      </c>
      <c r="AU181" s="2"/>
      <c r="AV181" s="2"/>
      <c r="AW181" s="168"/>
      <c r="AX181" s="21">
        <f t="shared" si="32"/>
        <v>29751.269000000004</v>
      </c>
      <c r="AY181" s="26">
        <f>27082.73+33231.61</f>
        <v>60314.34</v>
      </c>
    </row>
    <row r="182" spans="1:51" ht="15.75">
      <c r="A182" s="1">
        <v>174</v>
      </c>
      <c r="B182" s="1" t="s">
        <v>187</v>
      </c>
      <c r="C182" s="1">
        <v>470.5</v>
      </c>
      <c r="D182" s="1">
        <v>0</v>
      </c>
      <c r="E182" s="1">
        <f t="shared" si="42"/>
        <v>470.5</v>
      </c>
      <c r="F182" s="2">
        <v>9.16</v>
      </c>
      <c r="G182" s="2">
        <f t="shared" si="45"/>
        <v>4309.78</v>
      </c>
      <c r="H182" s="2">
        <f t="shared" si="39"/>
        <v>25858.68</v>
      </c>
      <c r="I182" s="2">
        <f t="shared" si="44"/>
        <v>9.16</v>
      </c>
      <c r="J182" s="2">
        <f t="shared" si="41"/>
        <v>4309.78</v>
      </c>
      <c r="K182" s="2">
        <f t="shared" si="34"/>
        <v>25858.68</v>
      </c>
      <c r="L182" s="13">
        <f t="shared" si="40"/>
        <v>51717.36</v>
      </c>
      <c r="M182" s="139"/>
      <c r="N182" s="34">
        <f t="shared" si="35"/>
        <v>51717.36</v>
      </c>
      <c r="O182" s="152">
        <v>0</v>
      </c>
      <c r="P182" s="152">
        <v>1209.19</v>
      </c>
      <c r="Q182" s="1">
        <v>0</v>
      </c>
      <c r="R182" s="1">
        <v>30408.19</v>
      </c>
      <c r="S182" s="1">
        <v>0</v>
      </c>
      <c r="T182" s="1">
        <v>1209.19</v>
      </c>
      <c r="U182" s="33">
        <v>0</v>
      </c>
      <c r="V182" s="33">
        <v>1789.19</v>
      </c>
      <c r="W182" s="1">
        <v>0</v>
      </c>
      <c r="X182" s="1">
        <v>36609.19</v>
      </c>
      <c r="Y182" s="1">
        <v>0</v>
      </c>
      <c r="Z182" s="1">
        <v>15459.19</v>
      </c>
      <c r="AA182" s="33">
        <v>0</v>
      </c>
      <c r="AB182" s="33">
        <v>3695.01</v>
      </c>
      <c r="AC182" s="33">
        <v>0</v>
      </c>
      <c r="AD182" s="33">
        <v>1986.19</v>
      </c>
      <c r="AE182" s="33">
        <v>0</v>
      </c>
      <c r="AF182" s="33">
        <v>2328.23</v>
      </c>
      <c r="AG182" s="1">
        <v>0</v>
      </c>
      <c r="AH182" s="1">
        <v>16650.24</v>
      </c>
      <c r="AI182" s="1">
        <v>0</v>
      </c>
      <c r="AJ182" s="1">
        <v>1209.19</v>
      </c>
      <c r="AK182" s="1">
        <v>0</v>
      </c>
      <c r="AL182" s="1">
        <v>20333.77</v>
      </c>
      <c r="AM182" s="9">
        <f t="shared" si="36"/>
        <v>0</v>
      </c>
      <c r="AN182" s="9">
        <f t="shared" si="37"/>
        <v>132886.77000000002</v>
      </c>
      <c r="AO182" s="248">
        <f t="shared" si="38"/>
        <v>132886.77000000002</v>
      </c>
      <c r="AP182" s="10"/>
      <c r="AQ182" s="10"/>
      <c r="AR182" s="10"/>
      <c r="AS182" s="10"/>
      <c r="AT182" s="163">
        <f t="shared" si="43"/>
        <v>132886.77000000002</v>
      </c>
      <c r="AU182" s="2"/>
      <c r="AV182" s="2"/>
      <c r="AW182" s="168"/>
      <c r="AX182" s="21">
        <f t="shared" si="32"/>
        <v>-81169.41000000002</v>
      </c>
      <c r="AY182" s="26">
        <v>12058.02</v>
      </c>
    </row>
    <row r="183" spans="1:51" ht="15.75">
      <c r="A183" s="1">
        <v>175</v>
      </c>
      <c r="B183" s="1" t="s">
        <v>188</v>
      </c>
      <c r="C183" s="1">
        <v>348.8</v>
      </c>
      <c r="D183" s="1">
        <v>0</v>
      </c>
      <c r="E183" s="1">
        <f t="shared" si="42"/>
        <v>348.8</v>
      </c>
      <c r="F183" s="2">
        <v>8.44</v>
      </c>
      <c r="G183" s="2">
        <f t="shared" si="45"/>
        <v>2943.872</v>
      </c>
      <c r="H183" s="2">
        <f t="shared" si="39"/>
        <v>17663.232</v>
      </c>
      <c r="I183" s="2">
        <f t="shared" si="44"/>
        <v>8.44</v>
      </c>
      <c r="J183" s="2">
        <f t="shared" si="41"/>
        <v>2943.872</v>
      </c>
      <c r="K183" s="2">
        <f t="shared" si="34"/>
        <v>17663.232</v>
      </c>
      <c r="L183" s="13">
        <f t="shared" si="40"/>
        <v>35326.464</v>
      </c>
      <c r="M183" s="139">
        <v>-11912.45</v>
      </c>
      <c r="N183" s="34">
        <f t="shared" si="35"/>
        <v>23414.014</v>
      </c>
      <c r="O183" s="152">
        <v>0</v>
      </c>
      <c r="P183" s="152">
        <v>1061.79</v>
      </c>
      <c r="Q183" s="1">
        <v>0</v>
      </c>
      <c r="R183" s="1">
        <v>896.42</v>
      </c>
      <c r="S183" s="1">
        <v>0</v>
      </c>
      <c r="T183" s="1">
        <v>896.42</v>
      </c>
      <c r="U183" s="33">
        <v>0</v>
      </c>
      <c r="V183" s="33">
        <v>1476.42</v>
      </c>
      <c r="W183" s="1">
        <v>0</v>
      </c>
      <c r="X183" s="1">
        <v>896.42</v>
      </c>
      <c r="Y183" s="1">
        <v>0</v>
      </c>
      <c r="Z183" s="1">
        <v>896.42</v>
      </c>
      <c r="AA183" s="33">
        <v>0</v>
      </c>
      <c r="AB183" s="33">
        <v>896.42</v>
      </c>
      <c r="AC183" s="33">
        <v>0</v>
      </c>
      <c r="AD183" s="33">
        <v>3352.97</v>
      </c>
      <c r="AE183" s="33">
        <v>0</v>
      </c>
      <c r="AF183" s="33">
        <v>896.42</v>
      </c>
      <c r="AG183" s="1">
        <v>0</v>
      </c>
      <c r="AH183" s="1">
        <v>2056.83</v>
      </c>
      <c r="AI183" s="1">
        <v>0</v>
      </c>
      <c r="AJ183" s="1">
        <v>896.42</v>
      </c>
      <c r="AK183" s="1">
        <v>0</v>
      </c>
      <c r="AL183" s="1">
        <v>896.42</v>
      </c>
      <c r="AM183" s="9">
        <f t="shared" si="36"/>
        <v>0</v>
      </c>
      <c r="AN183" s="9">
        <f t="shared" si="37"/>
        <v>15119.37</v>
      </c>
      <c r="AO183" s="248">
        <f t="shared" si="38"/>
        <v>15119.37</v>
      </c>
      <c r="AP183" s="10"/>
      <c r="AQ183" s="10"/>
      <c r="AR183" s="10"/>
      <c r="AS183" s="10"/>
      <c r="AT183" s="163">
        <f t="shared" si="43"/>
        <v>15119.37</v>
      </c>
      <c r="AU183" s="2"/>
      <c r="AV183" s="2">
        <f>E183*0.65+(E183*0.69)*3</f>
        <v>948.736</v>
      </c>
      <c r="AW183" s="168"/>
      <c r="AX183" s="21">
        <f t="shared" si="32"/>
        <v>9243.38</v>
      </c>
      <c r="AY183" s="26">
        <v>29650.91</v>
      </c>
    </row>
    <row r="184" spans="1:51" ht="15.75">
      <c r="A184" s="1">
        <v>176</v>
      </c>
      <c r="B184" s="1" t="s">
        <v>189</v>
      </c>
      <c r="C184" s="1">
        <v>7623.3</v>
      </c>
      <c r="D184" s="1">
        <v>159</v>
      </c>
      <c r="E184" s="1">
        <f t="shared" si="42"/>
        <v>7782.3</v>
      </c>
      <c r="F184" s="2">
        <v>14.97</v>
      </c>
      <c r="G184" s="2">
        <f t="shared" si="45"/>
        <v>116501.031</v>
      </c>
      <c r="H184" s="2">
        <f t="shared" si="39"/>
        <v>699006.186</v>
      </c>
      <c r="I184" s="2">
        <f t="shared" si="44"/>
        <v>14.97</v>
      </c>
      <c r="J184" s="2">
        <f t="shared" si="41"/>
        <v>116501.031</v>
      </c>
      <c r="K184" s="2">
        <f t="shared" si="34"/>
        <v>699006.186</v>
      </c>
      <c r="L184" s="13">
        <f t="shared" si="40"/>
        <v>1398012.372</v>
      </c>
      <c r="M184" s="139"/>
      <c r="N184" s="34">
        <f t="shared" si="35"/>
        <v>1398012.372</v>
      </c>
      <c r="O184" s="152">
        <v>133986.32</v>
      </c>
      <c r="P184" s="152">
        <v>32364.37</v>
      </c>
      <c r="Q184" s="1">
        <v>155289.16</v>
      </c>
      <c r="R184" s="1">
        <v>33853.73</v>
      </c>
      <c r="S184" s="1">
        <v>32745.92</v>
      </c>
      <c r="T184" s="1">
        <v>64267.07</v>
      </c>
      <c r="U184" s="33">
        <v>34365.97</v>
      </c>
      <c r="V184" s="33">
        <v>26557.6</v>
      </c>
      <c r="W184" s="1">
        <v>51654.84</v>
      </c>
      <c r="X184" s="1">
        <v>24515.9</v>
      </c>
      <c r="Y184" s="1">
        <v>181382.32</v>
      </c>
      <c r="Z184" s="1">
        <v>36443.27</v>
      </c>
      <c r="AA184" s="33">
        <v>38990.14</v>
      </c>
      <c r="AB184" s="33">
        <v>27674.2</v>
      </c>
      <c r="AC184" s="33">
        <v>74540.68</v>
      </c>
      <c r="AD184" s="33">
        <v>35641.33</v>
      </c>
      <c r="AE184" s="33">
        <v>177288.72</v>
      </c>
      <c r="AF184" s="33">
        <v>31442.87</v>
      </c>
      <c r="AG184" s="1">
        <v>42503.17</v>
      </c>
      <c r="AH184" s="1">
        <v>35739.15</v>
      </c>
      <c r="AI184" s="1">
        <v>181535.32</v>
      </c>
      <c r="AJ184" s="1">
        <v>179786.97</v>
      </c>
      <c r="AK184" s="1">
        <v>124670.28</v>
      </c>
      <c r="AL184" s="1">
        <v>78437.33</v>
      </c>
      <c r="AM184" s="9">
        <f t="shared" si="36"/>
        <v>1228952.84</v>
      </c>
      <c r="AN184" s="9">
        <f t="shared" si="37"/>
        <v>606723.79</v>
      </c>
      <c r="AO184" s="248">
        <f t="shared" si="38"/>
        <v>1835676.6300000001</v>
      </c>
      <c r="AP184" s="10"/>
      <c r="AQ184" s="10">
        <f>(259204.24-59012.29)+129602.95</f>
        <v>329794.89999999997</v>
      </c>
      <c r="AR184" s="10"/>
      <c r="AS184" s="10"/>
      <c r="AT184" s="163">
        <f t="shared" si="43"/>
        <v>2165471.5300000003</v>
      </c>
      <c r="AU184" s="2"/>
      <c r="AV184" s="2"/>
      <c r="AW184" s="168">
        <v>8256</v>
      </c>
      <c r="AX184" s="21">
        <f t="shared" si="32"/>
        <v>-759203.1580000003</v>
      </c>
      <c r="AY184" s="26">
        <v>313288.03</v>
      </c>
    </row>
    <row r="185" spans="1:51" ht="15.75">
      <c r="A185" s="1">
        <v>177</v>
      </c>
      <c r="B185" s="1" t="s">
        <v>190</v>
      </c>
      <c r="C185" s="1">
        <v>577.3</v>
      </c>
      <c r="D185" s="1">
        <v>0</v>
      </c>
      <c r="E185" s="1">
        <f aca="true" t="shared" si="46" ref="E185:E195">C185+D185</f>
        <v>577.3</v>
      </c>
      <c r="F185" s="2">
        <v>12.48</v>
      </c>
      <c r="G185" s="2">
        <f t="shared" si="45"/>
        <v>7204.704</v>
      </c>
      <c r="H185" s="2">
        <f t="shared" si="39"/>
        <v>43228.224</v>
      </c>
      <c r="I185" s="2">
        <f t="shared" si="44"/>
        <v>12.48</v>
      </c>
      <c r="J185" s="2">
        <f t="shared" si="41"/>
        <v>7204.704</v>
      </c>
      <c r="K185" s="2">
        <f t="shared" si="34"/>
        <v>43228.224</v>
      </c>
      <c r="L185" s="13">
        <f t="shared" si="40"/>
        <v>86456.448</v>
      </c>
      <c r="M185" s="139">
        <v>-37892.6</v>
      </c>
      <c r="N185" s="34">
        <f t="shared" si="35"/>
        <v>48563.848000000005</v>
      </c>
      <c r="O185" s="152">
        <v>0</v>
      </c>
      <c r="P185" s="152">
        <v>3114.43</v>
      </c>
      <c r="Q185" s="1">
        <v>0</v>
      </c>
      <c r="R185" s="1">
        <v>1943.66</v>
      </c>
      <c r="S185" s="1">
        <v>0</v>
      </c>
      <c r="T185" s="1">
        <v>6860.48</v>
      </c>
      <c r="U185" s="33">
        <v>0</v>
      </c>
      <c r="V185" s="33">
        <v>4453.66</v>
      </c>
      <c r="W185" s="1">
        <v>0</v>
      </c>
      <c r="X185" s="1">
        <v>1943.66</v>
      </c>
      <c r="Y185" s="1">
        <v>0</v>
      </c>
      <c r="Z185" s="1">
        <v>1943.66</v>
      </c>
      <c r="AA185" s="33">
        <v>0</v>
      </c>
      <c r="AB185" s="33">
        <v>1943.66</v>
      </c>
      <c r="AC185" s="33">
        <v>0</v>
      </c>
      <c r="AD185" s="33">
        <v>1943.66</v>
      </c>
      <c r="AE185" s="33">
        <v>0</v>
      </c>
      <c r="AF185" s="33">
        <v>1943.66</v>
      </c>
      <c r="AG185" s="1">
        <v>0</v>
      </c>
      <c r="AH185" s="1">
        <v>3104.07</v>
      </c>
      <c r="AI185" s="1">
        <v>0</v>
      </c>
      <c r="AJ185" s="1">
        <v>1943.66</v>
      </c>
      <c r="AK185" s="1">
        <v>0</v>
      </c>
      <c r="AL185" s="1">
        <v>1943.66</v>
      </c>
      <c r="AM185" s="9">
        <f t="shared" si="36"/>
        <v>0</v>
      </c>
      <c r="AN185" s="9">
        <f t="shared" si="37"/>
        <v>33081.92</v>
      </c>
      <c r="AO185" s="248">
        <f t="shared" si="38"/>
        <v>33081.92</v>
      </c>
      <c r="AP185" s="10"/>
      <c r="AQ185" s="10">
        <v>1782.91</v>
      </c>
      <c r="AR185" s="10">
        <v>294.32</v>
      </c>
      <c r="AS185" s="10"/>
      <c r="AT185" s="163">
        <f t="shared" si="43"/>
        <v>35159.15</v>
      </c>
      <c r="AU185" s="2"/>
      <c r="AV185" s="2">
        <f>E185*0.65+(E185*0.69)*3</f>
        <v>1570.2559999999999</v>
      </c>
      <c r="AW185" s="168"/>
      <c r="AX185" s="21">
        <f t="shared" si="32"/>
        <v>14974.954000000003</v>
      </c>
      <c r="AY185" s="26">
        <f>138969.63+7203.39</f>
        <v>146173.02000000002</v>
      </c>
    </row>
    <row r="186" spans="1:51" ht="15.75">
      <c r="A186" s="1">
        <v>178</v>
      </c>
      <c r="B186" s="1" t="s">
        <v>191</v>
      </c>
      <c r="C186" s="1">
        <v>394.1</v>
      </c>
      <c r="D186" s="1">
        <v>0</v>
      </c>
      <c r="E186" s="1">
        <f t="shared" si="46"/>
        <v>394.1</v>
      </c>
      <c r="F186" s="2">
        <v>12.48</v>
      </c>
      <c r="G186" s="2">
        <f t="shared" si="45"/>
        <v>4918.368</v>
      </c>
      <c r="H186" s="2">
        <f t="shared" si="39"/>
        <v>29510.208000000002</v>
      </c>
      <c r="I186" s="2">
        <f t="shared" si="44"/>
        <v>12.48</v>
      </c>
      <c r="J186" s="2">
        <f t="shared" si="41"/>
        <v>4918.368</v>
      </c>
      <c r="K186" s="2">
        <f t="shared" si="34"/>
        <v>29510.208000000002</v>
      </c>
      <c r="L186" s="13">
        <f t="shared" si="40"/>
        <v>59020.416000000005</v>
      </c>
      <c r="M186" s="139">
        <v>-189990.84</v>
      </c>
      <c r="N186" s="34">
        <f t="shared" si="35"/>
        <v>-130970.424</v>
      </c>
      <c r="O186" s="152">
        <v>0</v>
      </c>
      <c r="P186" s="152">
        <v>1242.84</v>
      </c>
      <c r="Q186" s="1">
        <v>0</v>
      </c>
      <c r="R186" s="1">
        <v>1408.21</v>
      </c>
      <c r="S186" s="1">
        <v>0</v>
      </c>
      <c r="T186" s="1">
        <v>1408.21</v>
      </c>
      <c r="U186" s="33">
        <v>0</v>
      </c>
      <c r="V186" s="33">
        <v>15813.97</v>
      </c>
      <c r="W186" s="1">
        <v>0</v>
      </c>
      <c r="X186" s="1">
        <v>1242.84</v>
      </c>
      <c r="Y186" s="1">
        <v>0</v>
      </c>
      <c r="Z186" s="1">
        <v>63871.56</v>
      </c>
      <c r="AA186" s="33">
        <v>0</v>
      </c>
      <c r="AB186" s="33">
        <v>70861.51</v>
      </c>
      <c r="AC186" s="33">
        <v>0</v>
      </c>
      <c r="AD186" s="33">
        <v>1242.84</v>
      </c>
      <c r="AE186" s="33">
        <v>0</v>
      </c>
      <c r="AF186" s="33">
        <v>1242.84</v>
      </c>
      <c r="AG186" s="1">
        <v>0</v>
      </c>
      <c r="AH186" s="1">
        <v>2403.25</v>
      </c>
      <c r="AI186" s="1">
        <v>0</v>
      </c>
      <c r="AJ186" s="1">
        <v>1242.84</v>
      </c>
      <c r="AK186" s="1">
        <v>0</v>
      </c>
      <c r="AL186" s="1">
        <v>3661.51</v>
      </c>
      <c r="AM186" s="9">
        <f t="shared" si="36"/>
        <v>0</v>
      </c>
      <c r="AN186" s="9">
        <f t="shared" si="37"/>
        <v>165642.42</v>
      </c>
      <c r="AO186" s="248">
        <f t="shared" si="38"/>
        <v>165642.42</v>
      </c>
      <c r="AP186" s="10"/>
      <c r="AQ186" s="10">
        <v>1782.91</v>
      </c>
      <c r="AR186" s="10">
        <v>200.92</v>
      </c>
      <c r="AS186" s="10"/>
      <c r="AT186" s="163">
        <f t="shared" si="43"/>
        <v>167626.25000000003</v>
      </c>
      <c r="AU186" s="2"/>
      <c r="AV186" s="2">
        <f>E186*0.65+(E186*0.69)*3</f>
        <v>1071.952</v>
      </c>
      <c r="AW186" s="168"/>
      <c r="AX186" s="21">
        <f t="shared" si="32"/>
        <v>-297524.722</v>
      </c>
      <c r="AY186" s="26">
        <v>309857.78</v>
      </c>
    </row>
    <row r="187" spans="1:51" ht="15.75">
      <c r="A187" s="1">
        <v>179</v>
      </c>
      <c r="B187" s="1" t="s">
        <v>192</v>
      </c>
      <c r="C187" s="1">
        <v>618.5</v>
      </c>
      <c r="D187" s="1">
        <v>0</v>
      </c>
      <c r="E187" s="1">
        <f t="shared" si="46"/>
        <v>618.5</v>
      </c>
      <c r="F187" s="2">
        <v>13</v>
      </c>
      <c r="G187" s="2">
        <f t="shared" si="45"/>
        <v>8040.5</v>
      </c>
      <c r="H187" s="2">
        <f t="shared" si="39"/>
        <v>48243</v>
      </c>
      <c r="I187" s="2">
        <f t="shared" si="44"/>
        <v>13</v>
      </c>
      <c r="J187" s="2">
        <f t="shared" si="41"/>
        <v>8040.5</v>
      </c>
      <c r="K187" s="2">
        <f t="shared" si="34"/>
        <v>48243</v>
      </c>
      <c r="L187" s="13">
        <f t="shared" si="40"/>
        <v>96486</v>
      </c>
      <c r="M187" s="139"/>
      <c r="N187" s="34">
        <f t="shared" si="35"/>
        <v>96486</v>
      </c>
      <c r="O187" s="152">
        <v>2417.08</v>
      </c>
      <c r="P187" s="152">
        <v>1819.55</v>
      </c>
      <c r="Q187" s="1">
        <v>10141.29</v>
      </c>
      <c r="R187" s="1">
        <v>11086.22</v>
      </c>
      <c r="S187" s="1">
        <v>1237.7</v>
      </c>
      <c r="T187" s="1">
        <v>1819.55</v>
      </c>
      <c r="U187" s="33">
        <v>1051.45</v>
      </c>
      <c r="V187" s="33">
        <v>2399.55</v>
      </c>
      <c r="W187" s="1">
        <v>6534.26</v>
      </c>
      <c r="X187" s="1">
        <v>1819.55</v>
      </c>
      <c r="Y187" s="1">
        <v>20690.45</v>
      </c>
      <c r="Z187" s="1">
        <v>2391.36</v>
      </c>
      <c r="AA187" s="33">
        <v>81351.39</v>
      </c>
      <c r="AB187" s="33">
        <v>22299.4</v>
      </c>
      <c r="AC187" s="33">
        <v>1954.46</v>
      </c>
      <c r="AD187" s="33">
        <v>1819.55</v>
      </c>
      <c r="AE187" s="33">
        <v>1954.46</v>
      </c>
      <c r="AF187" s="33">
        <v>1819.55</v>
      </c>
      <c r="AG187" s="1">
        <v>1051.45</v>
      </c>
      <c r="AH187" s="1">
        <v>2979.96</v>
      </c>
      <c r="AI187" s="1">
        <v>1051.45</v>
      </c>
      <c r="AJ187" s="1">
        <v>1819.55</v>
      </c>
      <c r="AK187" s="1">
        <v>0</v>
      </c>
      <c r="AL187" s="1">
        <v>1819.55</v>
      </c>
      <c r="AM187" s="9">
        <f t="shared" si="36"/>
        <v>129435.44</v>
      </c>
      <c r="AN187" s="9">
        <f t="shared" si="37"/>
        <v>53893.34000000001</v>
      </c>
      <c r="AO187" s="248">
        <f t="shared" si="38"/>
        <v>183328.78000000003</v>
      </c>
      <c r="AP187" s="10"/>
      <c r="AQ187" s="10"/>
      <c r="AR187" s="10"/>
      <c r="AS187" s="10"/>
      <c r="AT187" s="163">
        <f t="shared" si="43"/>
        <v>183328.78000000003</v>
      </c>
      <c r="AU187" s="2"/>
      <c r="AV187" s="2"/>
      <c r="AW187" s="168"/>
      <c r="AX187" s="21">
        <f t="shared" si="32"/>
        <v>-86842.78000000003</v>
      </c>
      <c r="AY187" s="26">
        <v>31273.97</v>
      </c>
    </row>
    <row r="188" spans="1:51" ht="15.75">
      <c r="A188" s="1">
        <v>180</v>
      </c>
      <c r="B188" s="1" t="s">
        <v>320</v>
      </c>
      <c r="C188" s="1">
        <v>519.8</v>
      </c>
      <c r="D188" s="1">
        <v>0</v>
      </c>
      <c r="E188" s="1">
        <f t="shared" si="46"/>
        <v>519.8</v>
      </c>
      <c r="F188" s="2">
        <v>12.23</v>
      </c>
      <c r="G188" s="2">
        <f t="shared" si="45"/>
        <v>6357.1539999999995</v>
      </c>
      <c r="H188" s="2">
        <f t="shared" si="39"/>
        <v>38142.924</v>
      </c>
      <c r="I188" s="2">
        <f t="shared" si="44"/>
        <v>12.23</v>
      </c>
      <c r="J188" s="2">
        <f t="shared" si="41"/>
        <v>6357.1539999999995</v>
      </c>
      <c r="K188" s="2">
        <f t="shared" si="34"/>
        <v>38142.924</v>
      </c>
      <c r="L188" s="13">
        <f t="shared" si="40"/>
        <v>76285.848</v>
      </c>
      <c r="M188" s="139">
        <v>-78722.14</v>
      </c>
      <c r="N188" s="34">
        <f t="shared" si="35"/>
        <v>-2436.2920000000013</v>
      </c>
      <c r="O188" s="152">
        <v>0</v>
      </c>
      <c r="P188" s="152">
        <v>1335.89</v>
      </c>
      <c r="Q188" s="1">
        <v>0</v>
      </c>
      <c r="R188" s="1">
        <v>1335.89</v>
      </c>
      <c r="S188" s="1">
        <v>0</v>
      </c>
      <c r="T188" s="1">
        <v>1335.89</v>
      </c>
      <c r="U188" s="33">
        <v>0</v>
      </c>
      <c r="V188" s="33">
        <v>1915.89</v>
      </c>
      <c r="W188" s="1">
        <v>0</v>
      </c>
      <c r="X188" s="1">
        <v>1335.89</v>
      </c>
      <c r="Y188" s="1">
        <v>0</v>
      </c>
      <c r="Z188" s="1">
        <v>1335.89</v>
      </c>
      <c r="AA188" s="33">
        <v>0</v>
      </c>
      <c r="AB188" s="33">
        <v>1335.89</v>
      </c>
      <c r="AC188" s="33">
        <v>0</v>
      </c>
      <c r="AD188" s="33">
        <v>1335.89</v>
      </c>
      <c r="AE188" s="33">
        <v>0</v>
      </c>
      <c r="AF188" s="33">
        <v>1335.89</v>
      </c>
      <c r="AG188" s="1">
        <v>0</v>
      </c>
      <c r="AH188" s="1">
        <v>1971.55</v>
      </c>
      <c r="AI188" s="1">
        <v>0</v>
      </c>
      <c r="AJ188" s="1">
        <v>1335.89</v>
      </c>
      <c r="AK188" s="1">
        <v>0</v>
      </c>
      <c r="AL188" s="1">
        <v>1335.89</v>
      </c>
      <c r="AM188" s="9">
        <f t="shared" si="36"/>
        <v>0</v>
      </c>
      <c r="AN188" s="9">
        <f t="shared" si="37"/>
        <v>17246.339999999997</v>
      </c>
      <c r="AO188" s="248">
        <f t="shared" si="38"/>
        <v>17246.339999999997</v>
      </c>
      <c r="AP188" s="10"/>
      <c r="AQ188" s="10"/>
      <c r="AR188" s="10"/>
      <c r="AS188" s="10"/>
      <c r="AT188" s="163">
        <f t="shared" si="43"/>
        <v>17246.339999999997</v>
      </c>
      <c r="AU188" s="2"/>
      <c r="AV188" s="2"/>
      <c r="AW188" s="168"/>
      <c r="AX188" s="21">
        <f t="shared" si="32"/>
        <v>-19682.631999999998</v>
      </c>
      <c r="AY188" s="26">
        <f>465351.23+53633.47</f>
        <v>518984.69999999995</v>
      </c>
    </row>
    <row r="189" spans="1:51" ht="15.75">
      <c r="A189" s="1">
        <v>181</v>
      </c>
      <c r="B189" s="1" t="s">
        <v>193</v>
      </c>
      <c r="C189" s="1">
        <v>595.9</v>
      </c>
      <c r="D189" s="1">
        <v>0</v>
      </c>
      <c r="E189" s="1">
        <f t="shared" si="46"/>
        <v>595.9</v>
      </c>
      <c r="F189" s="2">
        <v>12.48</v>
      </c>
      <c r="G189" s="2">
        <f t="shared" si="45"/>
        <v>7436.832</v>
      </c>
      <c r="H189" s="2">
        <f t="shared" si="39"/>
        <v>44620.992</v>
      </c>
      <c r="I189" s="2">
        <f t="shared" si="44"/>
        <v>12.48</v>
      </c>
      <c r="J189" s="2">
        <f t="shared" si="41"/>
        <v>7436.832</v>
      </c>
      <c r="K189" s="2">
        <f t="shared" si="34"/>
        <v>44620.992</v>
      </c>
      <c r="L189" s="13">
        <f t="shared" si="40"/>
        <v>89241.984</v>
      </c>
      <c r="M189" s="139">
        <v>-146385.86</v>
      </c>
      <c r="N189" s="34">
        <f t="shared" si="35"/>
        <v>-57143.87599999999</v>
      </c>
      <c r="O189" s="152">
        <v>0</v>
      </c>
      <c r="P189" s="152">
        <v>2156.83</v>
      </c>
      <c r="Q189" s="1">
        <v>0</v>
      </c>
      <c r="R189" s="1">
        <v>1991.46</v>
      </c>
      <c r="S189" s="1">
        <v>0</v>
      </c>
      <c r="T189" s="1">
        <v>2239.52</v>
      </c>
      <c r="U189" s="33">
        <v>0</v>
      </c>
      <c r="V189" s="33">
        <v>2571.46</v>
      </c>
      <c r="W189" s="1">
        <v>0</v>
      </c>
      <c r="X189" s="1">
        <v>1991.46</v>
      </c>
      <c r="Y189" s="1">
        <v>0</v>
      </c>
      <c r="Z189" s="1">
        <v>1991.46</v>
      </c>
      <c r="AA189" s="33">
        <v>0</v>
      </c>
      <c r="AB189" s="33">
        <v>1991.46</v>
      </c>
      <c r="AC189" s="33">
        <v>0</v>
      </c>
      <c r="AD189" s="33">
        <v>1991.46</v>
      </c>
      <c r="AE189" s="33">
        <v>0</v>
      </c>
      <c r="AF189" s="33">
        <v>17092.57</v>
      </c>
      <c r="AG189" s="1">
        <v>0</v>
      </c>
      <c r="AH189" s="1">
        <v>3151.87</v>
      </c>
      <c r="AI189" s="1">
        <v>0</v>
      </c>
      <c r="AJ189" s="1">
        <v>1991.46</v>
      </c>
      <c r="AK189" s="1">
        <v>0</v>
      </c>
      <c r="AL189" s="1">
        <v>3454.1</v>
      </c>
      <c r="AM189" s="9">
        <f t="shared" si="36"/>
        <v>0</v>
      </c>
      <c r="AN189" s="9">
        <f t="shared" si="37"/>
        <v>42615.10999999999</v>
      </c>
      <c r="AO189" s="248">
        <f t="shared" si="38"/>
        <v>42615.10999999999</v>
      </c>
      <c r="AP189" s="10"/>
      <c r="AQ189" s="10"/>
      <c r="AR189" s="10">
        <v>303.81</v>
      </c>
      <c r="AS189" s="10"/>
      <c r="AT189" s="163">
        <f t="shared" si="43"/>
        <v>42918.91999999999</v>
      </c>
      <c r="AU189" s="2"/>
      <c r="AV189" s="2">
        <f>E189*0.65+(E189*0.69)*3</f>
        <v>1620.848</v>
      </c>
      <c r="AW189" s="168">
        <v>4128</v>
      </c>
      <c r="AX189" s="21">
        <f t="shared" si="32"/>
        <v>-94313.94799999997</v>
      </c>
      <c r="AY189" s="26">
        <v>180138.89</v>
      </c>
    </row>
    <row r="190" spans="1:78" s="18" customFormat="1" ht="15.75">
      <c r="A190" s="1">
        <v>182</v>
      </c>
      <c r="B190" s="1" t="s">
        <v>194</v>
      </c>
      <c r="C190" s="1">
        <v>388.5</v>
      </c>
      <c r="D190" s="1">
        <v>0</v>
      </c>
      <c r="E190" s="1">
        <f t="shared" si="46"/>
        <v>388.5</v>
      </c>
      <c r="F190" s="2">
        <v>12.28</v>
      </c>
      <c r="G190" s="2">
        <f t="shared" si="45"/>
        <v>4770.78</v>
      </c>
      <c r="H190" s="2">
        <f t="shared" si="39"/>
        <v>28624.68</v>
      </c>
      <c r="I190" s="2">
        <f t="shared" si="44"/>
        <v>12.28</v>
      </c>
      <c r="J190" s="2">
        <f t="shared" si="41"/>
        <v>4770.78</v>
      </c>
      <c r="K190" s="2">
        <f t="shared" si="34"/>
        <v>28624.68</v>
      </c>
      <c r="L190" s="13">
        <f t="shared" si="40"/>
        <v>57249.36</v>
      </c>
      <c r="M190" s="139">
        <v>-517224.61</v>
      </c>
      <c r="N190" s="34">
        <f t="shared" si="35"/>
        <v>-459975.25</v>
      </c>
      <c r="O190" s="152">
        <v>0</v>
      </c>
      <c r="P190" s="152">
        <v>1678.42</v>
      </c>
      <c r="Q190" s="1">
        <v>0</v>
      </c>
      <c r="R190" s="1">
        <v>1163.82</v>
      </c>
      <c r="S190" s="1">
        <v>0</v>
      </c>
      <c r="T190" s="1">
        <v>3654.41</v>
      </c>
      <c r="U190" s="33">
        <v>0</v>
      </c>
      <c r="V190" s="33">
        <v>1578.45</v>
      </c>
      <c r="W190" s="1">
        <v>0</v>
      </c>
      <c r="X190" s="1">
        <v>998.45</v>
      </c>
      <c r="Y190" s="1">
        <v>0</v>
      </c>
      <c r="Z190" s="1">
        <v>60630.48</v>
      </c>
      <c r="AA190" s="33">
        <v>0</v>
      </c>
      <c r="AB190" s="33">
        <v>1593.45</v>
      </c>
      <c r="AC190" s="33">
        <v>0</v>
      </c>
      <c r="AD190" s="33">
        <v>998.45</v>
      </c>
      <c r="AE190" s="33">
        <v>0</v>
      </c>
      <c r="AF190" s="33">
        <v>1196.85</v>
      </c>
      <c r="AG190" s="1">
        <v>0</v>
      </c>
      <c r="AH190" s="1">
        <v>2158.86</v>
      </c>
      <c r="AI190" s="1">
        <v>0</v>
      </c>
      <c r="AJ190" s="1">
        <v>998.45</v>
      </c>
      <c r="AK190" s="1">
        <v>0</v>
      </c>
      <c r="AL190" s="1">
        <v>998.45</v>
      </c>
      <c r="AM190" s="9">
        <f t="shared" si="36"/>
        <v>0</v>
      </c>
      <c r="AN190" s="9">
        <f t="shared" si="37"/>
        <v>77648.54</v>
      </c>
      <c r="AO190" s="248">
        <f t="shared" si="38"/>
        <v>77648.54</v>
      </c>
      <c r="AP190" s="10"/>
      <c r="AQ190" s="10"/>
      <c r="AR190" s="10"/>
      <c r="AS190" s="10"/>
      <c r="AT190" s="163">
        <f t="shared" si="43"/>
        <v>77648.54</v>
      </c>
      <c r="AU190" s="2"/>
      <c r="AV190" s="2">
        <f>E190*0.65+(E190*0.69)*3</f>
        <v>1056.72</v>
      </c>
      <c r="AW190" s="168"/>
      <c r="AX190" s="21">
        <f t="shared" si="32"/>
        <v>-536567.0700000001</v>
      </c>
      <c r="AY190" s="26">
        <v>240352.08</v>
      </c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</row>
    <row r="191" spans="1:51" ht="15.75">
      <c r="A191" s="1">
        <v>183</v>
      </c>
      <c r="B191" s="1" t="s">
        <v>321</v>
      </c>
      <c r="C191" s="1">
        <v>535</v>
      </c>
      <c r="D191" s="1">
        <v>0</v>
      </c>
      <c r="E191" s="1">
        <f t="shared" si="46"/>
        <v>535</v>
      </c>
      <c r="F191" s="2">
        <v>8.39</v>
      </c>
      <c r="G191" s="2">
        <f t="shared" si="45"/>
        <v>4488.650000000001</v>
      </c>
      <c r="H191" s="2">
        <f t="shared" si="39"/>
        <v>26931.9</v>
      </c>
      <c r="I191" s="2">
        <f t="shared" si="44"/>
        <v>8.39</v>
      </c>
      <c r="J191" s="2">
        <f t="shared" si="41"/>
        <v>4488.650000000001</v>
      </c>
      <c r="K191" s="2">
        <f t="shared" si="34"/>
        <v>26931.9</v>
      </c>
      <c r="L191" s="13">
        <f t="shared" si="40"/>
        <v>53863.8</v>
      </c>
      <c r="M191" s="139">
        <v>-87554.62</v>
      </c>
      <c r="N191" s="34">
        <f t="shared" si="35"/>
        <v>-33690.81999999999</v>
      </c>
      <c r="O191" s="152">
        <v>0</v>
      </c>
      <c r="P191" s="152">
        <v>1374.95</v>
      </c>
      <c r="Q191" s="1">
        <v>0</v>
      </c>
      <c r="R191" s="1">
        <v>1374.95</v>
      </c>
      <c r="S191" s="1">
        <v>0</v>
      </c>
      <c r="T191" s="1">
        <v>1374.95</v>
      </c>
      <c r="U191" s="33">
        <v>0</v>
      </c>
      <c r="V191" s="33">
        <v>1954.95</v>
      </c>
      <c r="W191" s="1">
        <v>0</v>
      </c>
      <c r="X191" s="1">
        <v>1374.95</v>
      </c>
      <c r="Y191" s="1">
        <v>0</v>
      </c>
      <c r="Z191" s="1">
        <v>1374.95</v>
      </c>
      <c r="AA191" s="33">
        <v>0</v>
      </c>
      <c r="AB191" s="33">
        <v>1374.95</v>
      </c>
      <c r="AC191" s="33">
        <v>0</v>
      </c>
      <c r="AD191" s="33">
        <v>1374.95</v>
      </c>
      <c r="AE191" s="33">
        <v>0</v>
      </c>
      <c r="AF191" s="33">
        <v>1374.95</v>
      </c>
      <c r="AG191" s="1">
        <v>0</v>
      </c>
      <c r="AH191" s="1">
        <v>2010.61</v>
      </c>
      <c r="AI191" s="1">
        <v>0</v>
      </c>
      <c r="AJ191" s="1">
        <v>3114.95</v>
      </c>
      <c r="AK191" s="1">
        <v>0</v>
      </c>
      <c r="AL191" s="1">
        <v>1374.95</v>
      </c>
      <c r="AM191" s="9">
        <f t="shared" si="36"/>
        <v>0</v>
      </c>
      <c r="AN191" s="9">
        <f t="shared" si="37"/>
        <v>19455.060000000005</v>
      </c>
      <c r="AO191" s="248">
        <f t="shared" si="38"/>
        <v>19455.060000000005</v>
      </c>
      <c r="AP191" s="10"/>
      <c r="AQ191" s="10"/>
      <c r="AR191" s="10"/>
      <c r="AS191" s="10"/>
      <c r="AT191" s="163">
        <f t="shared" si="43"/>
        <v>19455.060000000005</v>
      </c>
      <c r="AU191" s="2"/>
      <c r="AV191" s="2"/>
      <c r="AW191" s="168"/>
      <c r="AX191" s="21">
        <f t="shared" si="32"/>
        <v>-53145.88</v>
      </c>
      <c r="AY191" s="26">
        <f>98543.18+39398.1</f>
        <v>137941.28</v>
      </c>
    </row>
    <row r="192" spans="1:51" ht="15.75">
      <c r="A192" s="1">
        <v>184</v>
      </c>
      <c r="B192" s="1" t="s">
        <v>195</v>
      </c>
      <c r="C192" s="1">
        <v>589.9</v>
      </c>
      <c r="D192" s="1">
        <v>0</v>
      </c>
      <c r="E192" s="1">
        <f t="shared" si="46"/>
        <v>589.9</v>
      </c>
      <c r="F192" s="2">
        <v>12.28</v>
      </c>
      <c r="G192" s="2">
        <f t="shared" si="45"/>
        <v>7243.972</v>
      </c>
      <c r="H192" s="2">
        <f t="shared" si="39"/>
        <v>43463.831999999995</v>
      </c>
      <c r="I192" s="2">
        <f t="shared" si="44"/>
        <v>12.28</v>
      </c>
      <c r="J192" s="2">
        <f t="shared" si="41"/>
        <v>7243.972</v>
      </c>
      <c r="K192" s="2">
        <f t="shared" si="34"/>
        <v>43463.831999999995</v>
      </c>
      <c r="L192" s="13">
        <f t="shared" si="40"/>
        <v>86927.66399999999</v>
      </c>
      <c r="M192" s="139">
        <v>-299890.79</v>
      </c>
      <c r="N192" s="34">
        <f t="shared" si="35"/>
        <v>-212963.126</v>
      </c>
      <c r="O192" s="152">
        <v>0</v>
      </c>
      <c r="P192" s="152">
        <v>1681.41</v>
      </c>
      <c r="Q192" s="1">
        <v>0</v>
      </c>
      <c r="R192" s="1">
        <v>1598.72</v>
      </c>
      <c r="S192" s="1">
        <v>0</v>
      </c>
      <c r="T192" s="1">
        <v>1681.41</v>
      </c>
      <c r="U192" s="33">
        <v>0</v>
      </c>
      <c r="V192" s="33">
        <v>2096.04</v>
      </c>
      <c r="W192" s="1">
        <v>0</v>
      </c>
      <c r="X192" s="1">
        <v>4539.28</v>
      </c>
      <c r="Y192" s="1">
        <v>0</v>
      </c>
      <c r="Z192" s="1">
        <v>1516.04</v>
      </c>
      <c r="AA192" s="33">
        <v>0</v>
      </c>
      <c r="AB192" s="33">
        <v>40192.05</v>
      </c>
      <c r="AC192" s="33">
        <v>0</v>
      </c>
      <c r="AD192" s="33">
        <v>3787.37</v>
      </c>
      <c r="AE192" s="33">
        <v>0</v>
      </c>
      <c r="AF192" s="33">
        <v>1516.04</v>
      </c>
      <c r="AG192" s="1">
        <v>0</v>
      </c>
      <c r="AH192" s="1">
        <v>2676.45</v>
      </c>
      <c r="AI192" s="1">
        <v>0</v>
      </c>
      <c r="AJ192" s="1">
        <v>1516.04</v>
      </c>
      <c r="AK192" s="1">
        <v>0</v>
      </c>
      <c r="AL192" s="1">
        <v>1516.04</v>
      </c>
      <c r="AM192" s="9">
        <f t="shared" si="36"/>
        <v>0</v>
      </c>
      <c r="AN192" s="9">
        <f t="shared" si="37"/>
        <v>64316.89000000001</v>
      </c>
      <c r="AO192" s="248">
        <f t="shared" si="38"/>
        <v>64316.89000000001</v>
      </c>
      <c r="AP192" s="10"/>
      <c r="AQ192" s="10"/>
      <c r="AR192" s="10"/>
      <c r="AS192" s="10"/>
      <c r="AT192" s="163">
        <f t="shared" si="43"/>
        <v>64316.89000000001</v>
      </c>
      <c r="AU192" s="2"/>
      <c r="AV192" s="2">
        <f>E192*0.65+(E192*0.69)*3</f>
        <v>1604.5279999999998</v>
      </c>
      <c r="AW192" s="168"/>
      <c r="AX192" s="21">
        <f t="shared" si="32"/>
        <v>-275675.488</v>
      </c>
      <c r="AY192" s="26">
        <f>225929.7+37169.78</f>
        <v>263099.48</v>
      </c>
    </row>
    <row r="193" spans="1:51" ht="15.75">
      <c r="A193" s="1">
        <v>185</v>
      </c>
      <c r="B193" s="1" t="s">
        <v>196</v>
      </c>
      <c r="C193" s="1">
        <v>397.5</v>
      </c>
      <c r="D193" s="1">
        <v>0</v>
      </c>
      <c r="E193" s="1">
        <f t="shared" si="46"/>
        <v>397.5</v>
      </c>
      <c r="F193" s="2">
        <v>12.28</v>
      </c>
      <c r="G193" s="2">
        <f t="shared" si="45"/>
        <v>4881.3</v>
      </c>
      <c r="H193" s="2">
        <f aca="true" t="shared" si="47" ref="H193:H256">G193*6</f>
        <v>29287.800000000003</v>
      </c>
      <c r="I193" s="2">
        <f t="shared" si="44"/>
        <v>12.28</v>
      </c>
      <c r="J193" s="2">
        <f t="shared" si="41"/>
        <v>4881.3</v>
      </c>
      <c r="K193" s="2">
        <f aca="true" t="shared" si="48" ref="K193:K255">J193*6</f>
        <v>29287.800000000003</v>
      </c>
      <c r="L193" s="13">
        <f t="shared" si="40"/>
        <v>58575.600000000006</v>
      </c>
      <c r="M193" s="139">
        <v>-158617.12</v>
      </c>
      <c r="N193" s="34">
        <f t="shared" si="35"/>
        <v>-100041.51999999999</v>
      </c>
      <c r="O193" s="152">
        <v>0</v>
      </c>
      <c r="P193" s="152">
        <v>1021.58</v>
      </c>
      <c r="Q193" s="1">
        <v>0</v>
      </c>
      <c r="R193" s="1">
        <v>18547.13</v>
      </c>
      <c r="S193" s="1">
        <v>0</v>
      </c>
      <c r="T193" s="1">
        <v>1021.58</v>
      </c>
      <c r="U193" s="33">
        <v>0</v>
      </c>
      <c r="V193" s="33">
        <v>12831.17</v>
      </c>
      <c r="W193" s="1">
        <v>0</v>
      </c>
      <c r="X193" s="1">
        <v>1021.58</v>
      </c>
      <c r="Y193" s="1">
        <v>0</v>
      </c>
      <c r="Z193" s="1">
        <v>1021.58</v>
      </c>
      <c r="AA193" s="33">
        <v>0</v>
      </c>
      <c r="AB193" s="33">
        <v>1616.58</v>
      </c>
      <c r="AC193" s="33">
        <v>0</v>
      </c>
      <c r="AD193" s="33">
        <v>1749.24</v>
      </c>
      <c r="AE193" s="33">
        <v>0</v>
      </c>
      <c r="AF193" s="33">
        <v>1021.58</v>
      </c>
      <c r="AG193" s="1">
        <v>0</v>
      </c>
      <c r="AH193" s="1">
        <v>2181.99</v>
      </c>
      <c r="AI193" s="1">
        <v>0</v>
      </c>
      <c r="AJ193" s="1">
        <v>41697.84</v>
      </c>
      <c r="AK193" s="1">
        <v>0</v>
      </c>
      <c r="AL193" s="1">
        <v>1021.58</v>
      </c>
      <c r="AM193" s="9">
        <f aca="true" t="shared" si="49" ref="AM193:AM256">O193+Q193+S193+U193+W193+Y193+AA193+AC193+AE193+AG193+AI193+AK193</f>
        <v>0</v>
      </c>
      <c r="AN193" s="9">
        <f aca="true" t="shared" si="50" ref="AN193:AN256">P193+R193+T193+V193+X193+Z193+AB193+AD193+AF193+AH193+AJ193+AL193</f>
        <v>84753.43000000001</v>
      </c>
      <c r="AO193" s="248">
        <f aca="true" t="shared" si="51" ref="AO193:AO256">AM193+AN193</f>
        <v>84753.43000000001</v>
      </c>
      <c r="AP193" s="10"/>
      <c r="AQ193" s="10"/>
      <c r="AR193" s="10"/>
      <c r="AS193" s="10"/>
      <c r="AT193" s="163">
        <f t="shared" si="43"/>
        <v>84753.43000000001</v>
      </c>
      <c r="AU193" s="2"/>
      <c r="AV193" s="2">
        <f>E193*0.65+(E193*0.69)*3</f>
        <v>1081.1999999999998</v>
      </c>
      <c r="AW193" s="168"/>
      <c r="AX193" s="21">
        <f aca="true" t="shared" si="52" ref="AX193:AX256">N193-AT193+AU193+AV193+AW193</f>
        <v>-183713.75</v>
      </c>
      <c r="AY193" s="26">
        <v>87113.14</v>
      </c>
    </row>
    <row r="194" spans="1:51" ht="15.75">
      <c r="A194" s="1">
        <v>186</v>
      </c>
      <c r="B194" s="1" t="s">
        <v>197</v>
      </c>
      <c r="C194" s="1">
        <v>353.3</v>
      </c>
      <c r="D194" s="1">
        <v>0</v>
      </c>
      <c r="E194" s="1">
        <f t="shared" si="46"/>
        <v>353.3</v>
      </c>
      <c r="F194" s="2">
        <v>8.44</v>
      </c>
      <c r="G194" s="2">
        <f t="shared" si="45"/>
        <v>2981.852</v>
      </c>
      <c r="H194" s="2">
        <f t="shared" si="47"/>
        <v>17891.112</v>
      </c>
      <c r="I194" s="2">
        <f t="shared" si="44"/>
        <v>8.44</v>
      </c>
      <c r="J194" s="2">
        <f t="shared" si="41"/>
        <v>2981.852</v>
      </c>
      <c r="K194" s="2">
        <f t="shared" si="48"/>
        <v>17891.112</v>
      </c>
      <c r="L194" s="13">
        <f aca="true" t="shared" si="53" ref="L194:L257">H194+K194</f>
        <v>35782.224</v>
      </c>
      <c r="M194" s="139"/>
      <c r="N194" s="34">
        <f aca="true" t="shared" si="54" ref="N194:N257">L194+M194</f>
        <v>35782.224</v>
      </c>
      <c r="O194" s="152">
        <v>0</v>
      </c>
      <c r="P194" s="152">
        <v>1137.98</v>
      </c>
      <c r="Q194" s="1">
        <v>0</v>
      </c>
      <c r="R194" s="1">
        <v>1137.98</v>
      </c>
      <c r="S194" s="1">
        <v>0</v>
      </c>
      <c r="T194" s="1">
        <v>1137.98</v>
      </c>
      <c r="U194" s="33">
        <v>0</v>
      </c>
      <c r="V194" s="33">
        <v>1717.98</v>
      </c>
      <c r="W194" s="1">
        <v>0</v>
      </c>
      <c r="X194" s="1">
        <v>36537.98</v>
      </c>
      <c r="Y194" s="1">
        <v>0</v>
      </c>
      <c r="Z194" s="1">
        <v>1137.98</v>
      </c>
      <c r="AA194" s="33">
        <v>0</v>
      </c>
      <c r="AB194" s="33">
        <v>1137.98</v>
      </c>
      <c r="AC194" s="33">
        <v>0</v>
      </c>
      <c r="AD194" s="33">
        <v>1137.98</v>
      </c>
      <c r="AE194" s="33">
        <v>0</v>
      </c>
      <c r="AF194" s="33">
        <v>1137.98</v>
      </c>
      <c r="AG194" s="1">
        <v>0</v>
      </c>
      <c r="AH194" s="1">
        <v>2298.39</v>
      </c>
      <c r="AI194" s="1">
        <v>0</v>
      </c>
      <c r="AJ194" s="1">
        <v>1137.98</v>
      </c>
      <c r="AK194" s="1">
        <v>0</v>
      </c>
      <c r="AL194" s="1">
        <v>1137.98</v>
      </c>
      <c r="AM194" s="9">
        <f t="shared" si="49"/>
        <v>0</v>
      </c>
      <c r="AN194" s="9">
        <f t="shared" si="50"/>
        <v>50796.17000000002</v>
      </c>
      <c r="AO194" s="248">
        <f t="shared" si="51"/>
        <v>50796.17000000002</v>
      </c>
      <c r="AP194" s="10"/>
      <c r="AQ194" s="10"/>
      <c r="AR194" s="10"/>
      <c r="AS194" s="10"/>
      <c r="AT194" s="163">
        <f t="shared" si="43"/>
        <v>50796.17000000002</v>
      </c>
      <c r="AU194" s="2"/>
      <c r="AV194" s="2">
        <f>E194*0.65+(E194*0.69)*3</f>
        <v>960.9759999999999</v>
      </c>
      <c r="AW194" s="168"/>
      <c r="AX194" s="21">
        <f t="shared" si="52"/>
        <v>-14052.970000000018</v>
      </c>
      <c r="AY194" s="26">
        <v>28766.48</v>
      </c>
    </row>
    <row r="195" spans="1:51" ht="15.75">
      <c r="A195" s="1">
        <v>187</v>
      </c>
      <c r="B195" s="1" t="s">
        <v>345</v>
      </c>
      <c r="C195" s="1">
        <v>2913.2</v>
      </c>
      <c r="D195" s="1">
        <v>0</v>
      </c>
      <c r="E195" s="1">
        <f t="shared" si="46"/>
        <v>2913.2</v>
      </c>
      <c r="F195" s="2">
        <v>13.85</v>
      </c>
      <c r="G195" s="2">
        <f t="shared" si="45"/>
        <v>40347.82</v>
      </c>
      <c r="H195" s="2">
        <f t="shared" si="47"/>
        <v>242086.91999999998</v>
      </c>
      <c r="I195" s="2">
        <f t="shared" si="44"/>
        <v>13.85</v>
      </c>
      <c r="J195" s="2">
        <f aca="true" t="shared" si="55" ref="J195:J258">E195*I195</f>
        <v>40347.82</v>
      </c>
      <c r="K195" s="2">
        <f t="shared" si="48"/>
        <v>242086.91999999998</v>
      </c>
      <c r="L195" s="13">
        <f t="shared" si="53"/>
        <v>484173.83999999997</v>
      </c>
      <c r="M195" s="139">
        <v>-53532.23</v>
      </c>
      <c r="N195" s="34">
        <f t="shared" si="54"/>
        <v>430641.61</v>
      </c>
      <c r="O195" s="152">
        <v>0</v>
      </c>
      <c r="P195" s="152">
        <v>64694.57</v>
      </c>
      <c r="Q195" s="1">
        <v>0</v>
      </c>
      <c r="R195" s="1">
        <v>74594.27</v>
      </c>
      <c r="S195" s="1">
        <v>0</v>
      </c>
      <c r="T195" s="1">
        <v>27784.36</v>
      </c>
      <c r="U195" s="33">
        <v>0</v>
      </c>
      <c r="V195" s="33">
        <v>14007.21</v>
      </c>
      <c r="W195" s="1">
        <v>0</v>
      </c>
      <c r="X195" s="1">
        <v>18906.67</v>
      </c>
      <c r="Y195" s="1">
        <v>0</v>
      </c>
      <c r="Z195" s="1">
        <v>22757.08</v>
      </c>
      <c r="AA195" s="33">
        <v>0</v>
      </c>
      <c r="AB195" s="33">
        <v>35208</v>
      </c>
      <c r="AC195" s="33">
        <v>0</v>
      </c>
      <c r="AD195" s="33">
        <v>25157.58</v>
      </c>
      <c r="AE195" s="33">
        <v>0</v>
      </c>
      <c r="AF195" s="33">
        <v>22858.17</v>
      </c>
      <c r="AG195" s="1">
        <v>0</v>
      </c>
      <c r="AH195" s="1">
        <v>14007.62</v>
      </c>
      <c r="AI195" s="1">
        <v>0</v>
      </c>
      <c r="AJ195" s="1">
        <v>12847.21</v>
      </c>
      <c r="AK195" s="1">
        <v>0</v>
      </c>
      <c r="AL195" s="1">
        <v>56789.45</v>
      </c>
      <c r="AM195" s="9">
        <f t="shared" si="49"/>
        <v>0</v>
      </c>
      <c r="AN195" s="9">
        <f t="shared" si="50"/>
        <v>389612.19000000006</v>
      </c>
      <c r="AO195" s="248">
        <f t="shared" si="51"/>
        <v>389612.19000000006</v>
      </c>
      <c r="AP195" s="10"/>
      <c r="AQ195" s="10"/>
      <c r="AR195" s="10">
        <v>1485.23</v>
      </c>
      <c r="AS195" s="10"/>
      <c r="AT195" s="163">
        <f t="shared" si="43"/>
        <v>391097.42000000004</v>
      </c>
      <c r="AU195" s="2"/>
      <c r="AV195" s="2"/>
      <c r="AW195" s="168"/>
      <c r="AX195" s="21">
        <f t="shared" si="52"/>
        <v>39544.189999999944</v>
      </c>
      <c r="AY195" s="26">
        <v>625548.47</v>
      </c>
    </row>
    <row r="196" spans="1:51" ht="15.75">
      <c r="A196" s="1">
        <v>188</v>
      </c>
      <c r="B196" s="1" t="s">
        <v>198</v>
      </c>
      <c r="C196" s="1">
        <v>121.9</v>
      </c>
      <c r="D196" s="1">
        <v>0</v>
      </c>
      <c r="E196" s="1">
        <f aca="true" t="shared" si="56" ref="E196:E259">C196+D196</f>
        <v>121.9</v>
      </c>
      <c r="F196" s="2">
        <v>6.35</v>
      </c>
      <c r="G196" s="2">
        <f t="shared" si="45"/>
        <v>774.0649999999999</v>
      </c>
      <c r="H196" s="2">
        <f t="shared" si="47"/>
        <v>4644.389999999999</v>
      </c>
      <c r="I196" s="2">
        <f t="shared" si="44"/>
        <v>6.35</v>
      </c>
      <c r="J196" s="2">
        <f t="shared" si="55"/>
        <v>774.0649999999999</v>
      </c>
      <c r="K196" s="2">
        <f t="shared" si="48"/>
        <v>4644.389999999999</v>
      </c>
      <c r="L196" s="13">
        <f t="shared" si="53"/>
        <v>9288.779999999999</v>
      </c>
      <c r="M196" s="139"/>
      <c r="N196" s="34">
        <f t="shared" si="54"/>
        <v>9288.779999999999</v>
      </c>
      <c r="O196" s="152">
        <v>0</v>
      </c>
      <c r="P196" s="152">
        <v>313.28</v>
      </c>
      <c r="Q196" s="1">
        <v>0</v>
      </c>
      <c r="R196" s="1">
        <v>313.28</v>
      </c>
      <c r="S196" s="1">
        <v>0</v>
      </c>
      <c r="T196" s="1">
        <v>313.28</v>
      </c>
      <c r="U196" s="33">
        <v>580</v>
      </c>
      <c r="V196" s="33">
        <v>313.28</v>
      </c>
      <c r="W196" s="1">
        <v>0</v>
      </c>
      <c r="X196" s="1">
        <v>313.28</v>
      </c>
      <c r="Y196" s="1">
        <v>0</v>
      </c>
      <c r="Z196" s="1">
        <v>313.28</v>
      </c>
      <c r="AA196" s="33">
        <v>0</v>
      </c>
      <c r="AB196" s="33">
        <v>313.28</v>
      </c>
      <c r="AC196" s="33">
        <v>0</v>
      </c>
      <c r="AD196" s="33">
        <v>313.28</v>
      </c>
      <c r="AE196" s="33">
        <v>0</v>
      </c>
      <c r="AF196" s="33">
        <v>313.28</v>
      </c>
      <c r="AG196" s="1">
        <v>0</v>
      </c>
      <c r="AH196" s="1">
        <v>948.94</v>
      </c>
      <c r="AI196" s="1">
        <v>0</v>
      </c>
      <c r="AJ196" s="1">
        <v>313.28</v>
      </c>
      <c r="AK196" s="1">
        <v>0</v>
      </c>
      <c r="AL196" s="1">
        <v>313.28</v>
      </c>
      <c r="AM196" s="9">
        <f t="shared" si="49"/>
        <v>580</v>
      </c>
      <c r="AN196" s="9">
        <f t="shared" si="50"/>
        <v>4395.0199999999995</v>
      </c>
      <c r="AO196" s="248">
        <f t="shared" si="51"/>
        <v>4975.0199999999995</v>
      </c>
      <c r="AP196" s="10"/>
      <c r="AQ196" s="10"/>
      <c r="AR196" s="10"/>
      <c r="AS196" s="10"/>
      <c r="AT196" s="163">
        <f t="shared" si="43"/>
        <v>4975.0199999999995</v>
      </c>
      <c r="AU196" s="2"/>
      <c r="AV196" s="2"/>
      <c r="AW196" s="168"/>
      <c r="AX196" s="21">
        <f t="shared" si="52"/>
        <v>4313.759999999999</v>
      </c>
      <c r="AY196" s="26">
        <f>170432.12+35404.87</f>
        <v>205836.99</v>
      </c>
    </row>
    <row r="197" spans="1:51" ht="15.75">
      <c r="A197" s="1">
        <v>189</v>
      </c>
      <c r="B197" s="1" t="s">
        <v>199</v>
      </c>
      <c r="C197" s="1">
        <v>162</v>
      </c>
      <c r="D197" s="1">
        <v>0</v>
      </c>
      <c r="E197" s="1">
        <f t="shared" si="56"/>
        <v>162</v>
      </c>
      <c r="F197" s="2">
        <v>7.69</v>
      </c>
      <c r="G197" s="2">
        <f t="shared" si="45"/>
        <v>1245.78</v>
      </c>
      <c r="H197" s="2">
        <f t="shared" si="47"/>
        <v>7474.68</v>
      </c>
      <c r="I197" s="2">
        <f t="shared" si="44"/>
        <v>7.69</v>
      </c>
      <c r="J197" s="2">
        <f t="shared" si="55"/>
        <v>1245.78</v>
      </c>
      <c r="K197" s="2">
        <f t="shared" si="48"/>
        <v>7474.68</v>
      </c>
      <c r="L197" s="13">
        <f t="shared" si="53"/>
        <v>14949.36</v>
      </c>
      <c r="M197" s="139"/>
      <c r="N197" s="34">
        <f t="shared" si="54"/>
        <v>14949.36</v>
      </c>
      <c r="O197" s="152">
        <v>0</v>
      </c>
      <c r="P197" s="152">
        <v>416.34</v>
      </c>
      <c r="Q197" s="1">
        <v>0</v>
      </c>
      <c r="R197" s="1">
        <v>416.34</v>
      </c>
      <c r="S197" s="1">
        <v>0</v>
      </c>
      <c r="T197" s="1">
        <v>416.34</v>
      </c>
      <c r="U197" s="33">
        <v>580</v>
      </c>
      <c r="V197" s="33">
        <v>416.34</v>
      </c>
      <c r="W197" s="1">
        <v>0</v>
      </c>
      <c r="X197" s="1">
        <v>416.34</v>
      </c>
      <c r="Y197" s="1">
        <v>0</v>
      </c>
      <c r="Z197" s="1">
        <v>416.34</v>
      </c>
      <c r="AA197" s="33">
        <v>0</v>
      </c>
      <c r="AB197" s="33">
        <v>416.34</v>
      </c>
      <c r="AC197" s="33">
        <v>0</v>
      </c>
      <c r="AD197" s="33">
        <v>416.34</v>
      </c>
      <c r="AE197" s="33">
        <v>0</v>
      </c>
      <c r="AF197" s="33">
        <v>416.34</v>
      </c>
      <c r="AG197" s="1">
        <v>0</v>
      </c>
      <c r="AH197" s="1">
        <v>1052</v>
      </c>
      <c r="AI197" s="1">
        <v>0</v>
      </c>
      <c r="AJ197" s="1">
        <v>416.34</v>
      </c>
      <c r="AK197" s="1">
        <v>0</v>
      </c>
      <c r="AL197" s="1">
        <v>416.34</v>
      </c>
      <c r="AM197" s="9">
        <f t="shared" si="49"/>
        <v>580</v>
      </c>
      <c r="AN197" s="9">
        <f t="shared" si="50"/>
        <v>5631.740000000001</v>
      </c>
      <c r="AO197" s="248">
        <f t="shared" si="51"/>
        <v>6211.740000000001</v>
      </c>
      <c r="AP197" s="10"/>
      <c r="AQ197" s="10"/>
      <c r="AR197" s="10"/>
      <c r="AS197" s="10"/>
      <c r="AT197" s="163">
        <f t="shared" si="43"/>
        <v>6211.740000000001</v>
      </c>
      <c r="AU197" s="2"/>
      <c r="AV197" s="2"/>
      <c r="AW197" s="168"/>
      <c r="AX197" s="21">
        <f t="shared" si="52"/>
        <v>8737.619999999999</v>
      </c>
      <c r="AY197" s="26">
        <v>178162.65</v>
      </c>
    </row>
    <row r="198" spans="1:51" ht="15.75">
      <c r="A198" s="1">
        <v>190</v>
      </c>
      <c r="B198" s="1" t="s">
        <v>200</v>
      </c>
      <c r="C198" s="1">
        <v>672.2</v>
      </c>
      <c r="D198" s="1">
        <v>0</v>
      </c>
      <c r="E198" s="1">
        <f t="shared" si="56"/>
        <v>672.2</v>
      </c>
      <c r="F198" s="2">
        <v>13.87</v>
      </c>
      <c r="G198" s="2">
        <f t="shared" si="45"/>
        <v>9323.414</v>
      </c>
      <c r="H198" s="2">
        <f t="shared" si="47"/>
        <v>55940.484000000004</v>
      </c>
      <c r="I198" s="2">
        <f t="shared" si="44"/>
        <v>13.87</v>
      </c>
      <c r="J198" s="2">
        <f t="shared" si="55"/>
        <v>9323.414</v>
      </c>
      <c r="K198" s="2">
        <f t="shared" si="48"/>
        <v>55940.484000000004</v>
      </c>
      <c r="L198" s="13">
        <f t="shared" si="53"/>
        <v>111880.96800000001</v>
      </c>
      <c r="M198" s="139"/>
      <c r="N198" s="34">
        <f t="shared" si="54"/>
        <v>111880.96800000001</v>
      </c>
      <c r="O198" s="152">
        <v>1142.74</v>
      </c>
      <c r="P198" s="152">
        <v>1727.55</v>
      </c>
      <c r="Q198" s="1">
        <v>1142.74</v>
      </c>
      <c r="R198" s="1">
        <v>1727.55</v>
      </c>
      <c r="S198" s="1">
        <v>1142.74</v>
      </c>
      <c r="T198" s="1">
        <v>1727.55</v>
      </c>
      <c r="U198" s="33">
        <v>1142.74</v>
      </c>
      <c r="V198" s="33">
        <v>2307.55</v>
      </c>
      <c r="W198" s="1">
        <v>2124.15</v>
      </c>
      <c r="X198" s="1">
        <v>1727.55</v>
      </c>
      <c r="Y198" s="1">
        <v>2124.15</v>
      </c>
      <c r="Z198" s="1">
        <v>1727.55</v>
      </c>
      <c r="AA198" s="33">
        <v>5078.15</v>
      </c>
      <c r="AB198" s="33">
        <v>1727.55</v>
      </c>
      <c r="AC198" s="33">
        <v>70988.64</v>
      </c>
      <c r="AD198" s="33">
        <v>1727.55</v>
      </c>
      <c r="AE198" s="33">
        <v>23498.64</v>
      </c>
      <c r="AF198" s="33">
        <v>1727.55</v>
      </c>
      <c r="AG198" s="1">
        <v>11674.73</v>
      </c>
      <c r="AH198" s="1">
        <v>2887.96</v>
      </c>
      <c r="AI198" s="1">
        <v>1142.74</v>
      </c>
      <c r="AJ198" s="1">
        <v>1727.55</v>
      </c>
      <c r="AK198" s="1">
        <v>1448.64</v>
      </c>
      <c r="AL198" s="1">
        <v>1727.55</v>
      </c>
      <c r="AM198" s="9">
        <f t="shared" si="49"/>
        <v>122650.8</v>
      </c>
      <c r="AN198" s="9">
        <f t="shared" si="50"/>
        <v>22471.009999999995</v>
      </c>
      <c r="AO198" s="248">
        <f t="shared" si="51"/>
        <v>145121.81</v>
      </c>
      <c r="AP198" s="10"/>
      <c r="AQ198" s="10"/>
      <c r="AR198" s="10"/>
      <c r="AS198" s="10"/>
      <c r="AT198" s="163">
        <f t="shared" si="43"/>
        <v>145121.81</v>
      </c>
      <c r="AU198" s="2"/>
      <c r="AV198" s="2"/>
      <c r="AW198" s="168"/>
      <c r="AX198" s="21">
        <f t="shared" si="52"/>
        <v>-33240.84199999999</v>
      </c>
      <c r="AY198" s="26">
        <v>131220.31</v>
      </c>
    </row>
    <row r="199" spans="1:51" ht="15.75">
      <c r="A199" s="1">
        <v>191</v>
      </c>
      <c r="B199" s="1" t="s">
        <v>201</v>
      </c>
      <c r="C199" s="1">
        <v>132.5</v>
      </c>
      <c r="D199" s="1">
        <v>0</v>
      </c>
      <c r="E199" s="1">
        <f t="shared" si="56"/>
        <v>132.5</v>
      </c>
      <c r="F199" s="2">
        <v>6.35</v>
      </c>
      <c r="G199" s="2">
        <f t="shared" si="45"/>
        <v>841.375</v>
      </c>
      <c r="H199" s="2">
        <f t="shared" si="47"/>
        <v>5048.25</v>
      </c>
      <c r="I199" s="2">
        <f t="shared" si="44"/>
        <v>6.35</v>
      </c>
      <c r="J199" s="2">
        <f t="shared" si="55"/>
        <v>841.375</v>
      </c>
      <c r="K199" s="2">
        <f t="shared" si="48"/>
        <v>5048.25</v>
      </c>
      <c r="L199" s="13">
        <f t="shared" si="53"/>
        <v>10096.5</v>
      </c>
      <c r="M199" s="139"/>
      <c r="N199" s="34">
        <f t="shared" si="54"/>
        <v>10096.5</v>
      </c>
      <c r="O199" s="152">
        <v>0</v>
      </c>
      <c r="P199" s="152">
        <v>340.53</v>
      </c>
      <c r="Q199" s="1">
        <v>0</v>
      </c>
      <c r="R199" s="1">
        <v>340.53</v>
      </c>
      <c r="S199" s="1">
        <v>0</v>
      </c>
      <c r="T199" s="1">
        <v>340.53</v>
      </c>
      <c r="U199" s="33">
        <v>580</v>
      </c>
      <c r="V199" s="33">
        <v>340.53</v>
      </c>
      <c r="W199" s="1">
        <v>0</v>
      </c>
      <c r="X199" s="1">
        <v>340.53</v>
      </c>
      <c r="Y199" s="1">
        <v>0</v>
      </c>
      <c r="Z199" s="1">
        <v>340.53</v>
      </c>
      <c r="AA199" s="33">
        <v>0</v>
      </c>
      <c r="AB199" s="33">
        <v>340.53</v>
      </c>
      <c r="AC199" s="33">
        <v>0</v>
      </c>
      <c r="AD199" s="33">
        <v>340.53</v>
      </c>
      <c r="AE199" s="33">
        <v>0</v>
      </c>
      <c r="AF199" s="33">
        <v>340.53</v>
      </c>
      <c r="AG199" s="1">
        <v>0</v>
      </c>
      <c r="AH199" s="1">
        <v>976.19</v>
      </c>
      <c r="AI199" s="1">
        <v>0</v>
      </c>
      <c r="AJ199" s="1">
        <v>340.53</v>
      </c>
      <c r="AK199" s="1">
        <v>0</v>
      </c>
      <c r="AL199" s="1">
        <v>340.53</v>
      </c>
      <c r="AM199" s="9">
        <f t="shared" si="49"/>
        <v>580</v>
      </c>
      <c r="AN199" s="9">
        <f t="shared" si="50"/>
        <v>4722.0199999999995</v>
      </c>
      <c r="AO199" s="248">
        <f t="shared" si="51"/>
        <v>5302.0199999999995</v>
      </c>
      <c r="AP199" s="10"/>
      <c r="AQ199" s="10"/>
      <c r="AR199" s="10"/>
      <c r="AS199" s="10"/>
      <c r="AT199" s="163">
        <f t="shared" si="43"/>
        <v>5302.0199999999995</v>
      </c>
      <c r="AU199" s="2"/>
      <c r="AV199" s="2"/>
      <c r="AW199" s="168"/>
      <c r="AX199" s="21">
        <f t="shared" si="52"/>
        <v>4794.4800000000005</v>
      </c>
      <c r="AY199" s="26">
        <f>29151.27+29461.3</f>
        <v>58612.57</v>
      </c>
    </row>
    <row r="200" spans="1:51" ht="15.75">
      <c r="A200" s="1">
        <v>192</v>
      </c>
      <c r="B200" s="1" t="s">
        <v>202</v>
      </c>
      <c r="C200" s="1">
        <v>725.2</v>
      </c>
      <c r="D200" s="1">
        <v>0</v>
      </c>
      <c r="E200" s="1">
        <f t="shared" si="56"/>
        <v>725.2</v>
      </c>
      <c r="F200" s="2">
        <v>13</v>
      </c>
      <c r="G200" s="2">
        <f t="shared" si="45"/>
        <v>9427.6</v>
      </c>
      <c r="H200" s="2">
        <f t="shared" si="47"/>
        <v>56565.600000000006</v>
      </c>
      <c r="I200" s="2">
        <f t="shared" si="44"/>
        <v>13</v>
      </c>
      <c r="J200" s="2">
        <f t="shared" si="55"/>
        <v>9427.6</v>
      </c>
      <c r="K200" s="2">
        <f t="shared" si="48"/>
        <v>56565.600000000006</v>
      </c>
      <c r="L200" s="13">
        <f t="shared" si="53"/>
        <v>113131.20000000001</v>
      </c>
      <c r="M200" s="139"/>
      <c r="N200" s="34">
        <f t="shared" si="54"/>
        <v>113131.20000000001</v>
      </c>
      <c r="O200" s="152">
        <v>0</v>
      </c>
      <c r="P200" s="152">
        <v>2107.39</v>
      </c>
      <c r="Q200" s="1">
        <v>0</v>
      </c>
      <c r="R200" s="1">
        <v>2107.39</v>
      </c>
      <c r="S200" s="1">
        <v>46392</v>
      </c>
      <c r="T200" s="1">
        <v>2107.39</v>
      </c>
      <c r="U200" s="33">
        <v>0</v>
      </c>
      <c r="V200" s="33">
        <v>3267.39</v>
      </c>
      <c r="W200" s="1">
        <v>0</v>
      </c>
      <c r="X200" s="1">
        <v>2107.39</v>
      </c>
      <c r="Y200" s="1">
        <v>53015.42</v>
      </c>
      <c r="Z200" s="1">
        <v>2107.39</v>
      </c>
      <c r="AA200" s="33">
        <v>0</v>
      </c>
      <c r="AB200" s="33">
        <v>2107.39</v>
      </c>
      <c r="AC200" s="33">
        <v>0</v>
      </c>
      <c r="AD200" s="33">
        <v>2107.39</v>
      </c>
      <c r="AE200" s="33">
        <v>0</v>
      </c>
      <c r="AF200" s="33">
        <v>2107.39</v>
      </c>
      <c r="AG200" s="1">
        <v>345.43</v>
      </c>
      <c r="AH200" s="1">
        <v>3267.8</v>
      </c>
      <c r="AI200" s="1">
        <v>0</v>
      </c>
      <c r="AJ200" s="1">
        <v>2107.39</v>
      </c>
      <c r="AK200" s="1">
        <v>0</v>
      </c>
      <c r="AL200" s="1">
        <v>7013.55</v>
      </c>
      <c r="AM200" s="9">
        <f t="shared" si="49"/>
        <v>99752.84999999999</v>
      </c>
      <c r="AN200" s="9">
        <f t="shared" si="50"/>
        <v>32515.249999999996</v>
      </c>
      <c r="AO200" s="248">
        <f t="shared" si="51"/>
        <v>132268.09999999998</v>
      </c>
      <c r="AP200" s="10"/>
      <c r="AQ200" s="10"/>
      <c r="AR200" s="10"/>
      <c r="AS200" s="10"/>
      <c r="AT200" s="163">
        <f t="shared" si="43"/>
        <v>132268.09999999998</v>
      </c>
      <c r="AU200" s="2"/>
      <c r="AV200" s="2"/>
      <c r="AW200" s="168"/>
      <c r="AX200" s="21">
        <f t="shared" si="52"/>
        <v>-19136.899999999965</v>
      </c>
      <c r="AY200" s="26">
        <v>42082.01</v>
      </c>
    </row>
    <row r="201" spans="1:51" ht="15.75">
      <c r="A201" s="1">
        <v>193</v>
      </c>
      <c r="B201" s="1" t="s">
        <v>203</v>
      </c>
      <c r="C201" s="1">
        <v>716.9</v>
      </c>
      <c r="D201" s="1">
        <v>0</v>
      </c>
      <c r="E201" s="1">
        <f t="shared" si="56"/>
        <v>716.9</v>
      </c>
      <c r="F201" s="2">
        <v>13</v>
      </c>
      <c r="G201" s="2">
        <f t="shared" si="45"/>
        <v>9319.699999999999</v>
      </c>
      <c r="H201" s="2">
        <f t="shared" si="47"/>
        <v>55918.2</v>
      </c>
      <c r="I201" s="2">
        <f t="shared" si="44"/>
        <v>13</v>
      </c>
      <c r="J201" s="2">
        <f t="shared" si="55"/>
        <v>9319.699999999999</v>
      </c>
      <c r="K201" s="2">
        <f t="shared" si="48"/>
        <v>55918.2</v>
      </c>
      <c r="L201" s="13">
        <f t="shared" si="53"/>
        <v>111836.4</v>
      </c>
      <c r="M201" s="139"/>
      <c r="N201" s="34">
        <f t="shared" si="54"/>
        <v>111836.4</v>
      </c>
      <c r="O201" s="152">
        <v>1218.56</v>
      </c>
      <c r="P201" s="152">
        <v>3405.37</v>
      </c>
      <c r="Q201" s="1">
        <v>1218.56</v>
      </c>
      <c r="R201" s="1">
        <v>2072.18</v>
      </c>
      <c r="S201" s="1">
        <v>1931.22</v>
      </c>
      <c r="T201" s="1">
        <v>2072.18</v>
      </c>
      <c r="U201" s="33">
        <v>1218.56</v>
      </c>
      <c r="V201" s="33">
        <v>3232.18</v>
      </c>
      <c r="W201" s="1">
        <v>2265.09</v>
      </c>
      <c r="X201" s="1">
        <v>2072.18</v>
      </c>
      <c r="Y201" s="1">
        <v>50865.09</v>
      </c>
      <c r="Z201" s="1">
        <v>2072.18</v>
      </c>
      <c r="AA201" s="33">
        <v>2265.09</v>
      </c>
      <c r="AB201" s="33">
        <v>2072.18</v>
      </c>
      <c r="AC201" s="33">
        <v>2265.09</v>
      </c>
      <c r="AD201" s="33">
        <v>2072.18</v>
      </c>
      <c r="AE201" s="33">
        <v>2265.09</v>
      </c>
      <c r="AF201" s="33">
        <v>6138.57</v>
      </c>
      <c r="AG201" s="1">
        <v>1909.31</v>
      </c>
      <c r="AH201" s="1">
        <v>3232.59</v>
      </c>
      <c r="AI201" s="1">
        <v>1218.56</v>
      </c>
      <c r="AJ201" s="1">
        <v>2072.18</v>
      </c>
      <c r="AK201" s="1">
        <v>1777.66</v>
      </c>
      <c r="AL201" s="1">
        <v>2072.18</v>
      </c>
      <c r="AM201" s="9">
        <f t="shared" si="49"/>
        <v>70417.87999999999</v>
      </c>
      <c r="AN201" s="9">
        <f t="shared" si="50"/>
        <v>32586.15</v>
      </c>
      <c r="AO201" s="248">
        <f t="shared" si="51"/>
        <v>103004.03</v>
      </c>
      <c r="AP201" s="10"/>
      <c r="AQ201" s="10"/>
      <c r="AR201" s="10"/>
      <c r="AS201" s="10"/>
      <c r="AT201" s="163">
        <f aca="true" t="shared" si="57" ref="AT201:AT264">AO201+AP201+AQ201+AR201+AS201</f>
        <v>103004.03</v>
      </c>
      <c r="AU201" s="2"/>
      <c r="AV201" s="2"/>
      <c r="AW201" s="168"/>
      <c r="AX201" s="21">
        <f t="shared" si="52"/>
        <v>8832.369999999995</v>
      </c>
      <c r="AY201" s="26">
        <v>126451.68</v>
      </c>
    </row>
    <row r="202" spans="1:51" ht="15.75">
      <c r="A202" s="1">
        <v>194</v>
      </c>
      <c r="B202" s="1" t="s">
        <v>204</v>
      </c>
      <c r="C202" s="1">
        <v>645.1</v>
      </c>
      <c r="D202" s="1">
        <v>99.5</v>
      </c>
      <c r="E202" s="1">
        <f t="shared" si="56"/>
        <v>744.6</v>
      </c>
      <c r="F202" s="2">
        <v>13</v>
      </c>
      <c r="G202" s="2">
        <f t="shared" si="45"/>
        <v>9679.800000000001</v>
      </c>
      <c r="H202" s="2">
        <f t="shared" si="47"/>
        <v>58078.8</v>
      </c>
      <c r="I202" s="2">
        <f aca="true" t="shared" si="58" ref="I202:I265">F202*1</f>
        <v>13</v>
      </c>
      <c r="J202" s="2">
        <f t="shared" si="55"/>
        <v>9679.800000000001</v>
      </c>
      <c r="K202" s="2">
        <f t="shared" si="48"/>
        <v>58078.8</v>
      </c>
      <c r="L202" s="13">
        <f t="shared" si="53"/>
        <v>116157.6</v>
      </c>
      <c r="M202" s="139"/>
      <c r="N202" s="34">
        <f t="shared" si="54"/>
        <v>116157.6</v>
      </c>
      <c r="O202" s="152">
        <v>1265.82</v>
      </c>
      <c r="P202" s="152">
        <v>2143.62</v>
      </c>
      <c r="Q202" s="1">
        <v>1265.82</v>
      </c>
      <c r="R202" s="1">
        <v>2143.62</v>
      </c>
      <c r="S202" s="1">
        <v>1978.48</v>
      </c>
      <c r="T202" s="1">
        <v>2143.62</v>
      </c>
      <c r="U202" s="33">
        <v>3538.28</v>
      </c>
      <c r="V202" s="33">
        <v>3303.62</v>
      </c>
      <c r="W202" s="1">
        <v>16208.53</v>
      </c>
      <c r="X202" s="1">
        <v>2143.62</v>
      </c>
      <c r="Y202" s="1">
        <v>32433.48</v>
      </c>
      <c r="Z202" s="1">
        <v>2143.62</v>
      </c>
      <c r="AA202" s="33">
        <v>14719.74</v>
      </c>
      <c r="AB202" s="33">
        <v>2143.62</v>
      </c>
      <c r="AC202" s="33">
        <v>2352.94</v>
      </c>
      <c r="AD202" s="33">
        <v>4441</v>
      </c>
      <c r="AE202" s="33">
        <v>2352.94</v>
      </c>
      <c r="AF202" s="33">
        <v>2143.62</v>
      </c>
      <c r="AG202" s="1">
        <v>1956.57</v>
      </c>
      <c r="AH202" s="1">
        <v>3304.03</v>
      </c>
      <c r="AI202" s="1">
        <v>1265.82</v>
      </c>
      <c r="AJ202" s="1">
        <v>3151.16</v>
      </c>
      <c r="AK202" s="1">
        <v>1824.92</v>
      </c>
      <c r="AL202" s="1">
        <v>2143.62</v>
      </c>
      <c r="AM202" s="9">
        <f t="shared" si="49"/>
        <v>81163.34000000003</v>
      </c>
      <c r="AN202" s="9">
        <f t="shared" si="50"/>
        <v>31348.769999999993</v>
      </c>
      <c r="AO202" s="248">
        <f t="shared" si="51"/>
        <v>112512.11000000002</v>
      </c>
      <c r="AP202" s="10"/>
      <c r="AQ202" s="10"/>
      <c r="AR202" s="10"/>
      <c r="AS202" s="10"/>
      <c r="AT202" s="163">
        <f t="shared" si="57"/>
        <v>112512.11000000002</v>
      </c>
      <c r="AU202" s="2"/>
      <c r="AV202" s="2"/>
      <c r="AW202" s="168"/>
      <c r="AX202" s="21">
        <f t="shared" si="52"/>
        <v>3645.4899999999907</v>
      </c>
      <c r="AY202" s="26">
        <v>194839.77</v>
      </c>
    </row>
    <row r="203" spans="1:51" ht="15.75">
      <c r="A203" s="1">
        <v>195</v>
      </c>
      <c r="B203" s="1" t="s">
        <v>205</v>
      </c>
      <c r="C203" s="1">
        <v>2076.8</v>
      </c>
      <c r="D203" s="1">
        <v>0</v>
      </c>
      <c r="E203" s="1">
        <f t="shared" si="56"/>
        <v>2076.8</v>
      </c>
      <c r="F203" s="2">
        <v>14.87</v>
      </c>
      <c r="G203" s="2">
        <f t="shared" si="45"/>
        <v>30882.016</v>
      </c>
      <c r="H203" s="2">
        <f t="shared" si="47"/>
        <v>185292.096</v>
      </c>
      <c r="I203" s="2">
        <f t="shared" si="58"/>
        <v>14.87</v>
      </c>
      <c r="J203" s="2">
        <f t="shared" si="55"/>
        <v>30882.016</v>
      </c>
      <c r="K203" s="2">
        <f t="shared" si="48"/>
        <v>185292.096</v>
      </c>
      <c r="L203" s="13">
        <f t="shared" si="53"/>
        <v>370584.192</v>
      </c>
      <c r="M203" s="139"/>
      <c r="N203" s="34">
        <f t="shared" si="54"/>
        <v>370584.192</v>
      </c>
      <c r="O203" s="152">
        <v>0</v>
      </c>
      <c r="P203" s="152">
        <v>48048.53</v>
      </c>
      <c r="Q203" s="1">
        <v>0</v>
      </c>
      <c r="R203" s="1">
        <v>10798.69</v>
      </c>
      <c r="S203" s="1">
        <v>0</v>
      </c>
      <c r="T203" s="1">
        <v>47268.42</v>
      </c>
      <c r="U203" s="33">
        <v>0</v>
      </c>
      <c r="V203" s="33">
        <v>10548.69</v>
      </c>
      <c r="W203" s="1">
        <v>0</v>
      </c>
      <c r="X203" s="1">
        <v>32010.18</v>
      </c>
      <c r="Y203" s="1">
        <v>0</v>
      </c>
      <c r="Z203" s="1">
        <v>18379.02</v>
      </c>
      <c r="AA203" s="33">
        <v>0</v>
      </c>
      <c r="AB203" s="33">
        <v>61963.53</v>
      </c>
      <c r="AC203" s="33">
        <v>0</v>
      </c>
      <c r="AD203" s="33">
        <v>31977.92</v>
      </c>
      <c r="AE203" s="33">
        <v>0</v>
      </c>
      <c r="AF203" s="33">
        <v>90423.24</v>
      </c>
      <c r="AG203" s="1">
        <v>0</v>
      </c>
      <c r="AH203" s="1">
        <v>12130</v>
      </c>
      <c r="AI203" s="1">
        <v>0</v>
      </c>
      <c r="AJ203" s="1">
        <v>19894.86</v>
      </c>
      <c r="AK203" s="1">
        <v>0</v>
      </c>
      <c r="AL203" s="1">
        <v>9972.18</v>
      </c>
      <c r="AM203" s="9">
        <f t="shared" si="49"/>
        <v>0</v>
      </c>
      <c r="AN203" s="9">
        <f t="shared" si="50"/>
        <v>393415.25999999995</v>
      </c>
      <c r="AO203" s="248">
        <f t="shared" si="51"/>
        <v>393415.25999999995</v>
      </c>
      <c r="AP203" s="10"/>
      <c r="AQ203" s="10"/>
      <c r="AR203" s="10">
        <v>1058.81</v>
      </c>
      <c r="AS203" s="10"/>
      <c r="AT203" s="163">
        <f t="shared" si="57"/>
        <v>394474.06999999995</v>
      </c>
      <c r="AU203" s="2"/>
      <c r="AV203" s="2"/>
      <c r="AW203" s="168"/>
      <c r="AX203" s="21">
        <f t="shared" si="52"/>
        <v>-23889.877999999968</v>
      </c>
      <c r="AY203" s="26">
        <v>435257.83</v>
      </c>
    </row>
    <row r="204" spans="1:51" ht="15.75">
      <c r="A204" s="1">
        <v>196</v>
      </c>
      <c r="B204" s="1" t="s">
        <v>340</v>
      </c>
      <c r="C204" s="1">
        <v>4075.1</v>
      </c>
      <c r="D204" s="1">
        <v>0</v>
      </c>
      <c r="E204" s="1">
        <f t="shared" si="56"/>
        <v>4075.1</v>
      </c>
      <c r="F204" s="2">
        <v>13.85</v>
      </c>
      <c r="G204" s="2">
        <f t="shared" si="45"/>
        <v>56440.134999999995</v>
      </c>
      <c r="H204" s="2">
        <f t="shared" si="47"/>
        <v>338640.80999999994</v>
      </c>
      <c r="I204" s="2">
        <f t="shared" si="58"/>
        <v>13.85</v>
      </c>
      <c r="J204" s="2">
        <f t="shared" si="55"/>
        <v>56440.134999999995</v>
      </c>
      <c r="K204" s="2">
        <f t="shared" si="48"/>
        <v>338640.80999999994</v>
      </c>
      <c r="L204" s="13">
        <f t="shared" si="53"/>
        <v>677281.6199999999</v>
      </c>
      <c r="M204" s="139"/>
      <c r="N204" s="34">
        <f t="shared" si="54"/>
        <v>677281.6199999999</v>
      </c>
      <c r="O204" s="152">
        <v>0</v>
      </c>
      <c r="P204" s="152">
        <v>115067.28</v>
      </c>
      <c r="Q204" s="1">
        <v>0</v>
      </c>
      <c r="R204" s="1">
        <v>21920.3</v>
      </c>
      <c r="S204" s="1">
        <v>0</v>
      </c>
      <c r="T204" s="1">
        <v>178910.14</v>
      </c>
      <c r="U204" s="33">
        <v>0</v>
      </c>
      <c r="V204" s="33">
        <v>19213.88</v>
      </c>
      <c r="W204" s="1">
        <v>0</v>
      </c>
      <c r="X204" s="1">
        <v>26447.4</v>
      </c>
      <c r="Y204" s="1">
        <v>0</v>
      </c>
      <c r="Z204" s="1">
        <v>37998.63</v>
      </c>
      <c r="AA204" s="33">
        <v>0</v>
      </c>
      <c r="AB204" s="33">
        <v>51608.53</v>
      </c>
      <c r="AC204" s="33">
        <v>0</v>
      </c>
      <c r="AD204" s="33">
        <v>28258.06</v>
      </c>
      <c r="AE204" s="33">
        <v>0</v>
      </c>
      <c r="AF204" s="33">
        <v>59090.71</v>
      </c>
      <c r="AG204" s="1">
        <v>0</v>
      </c>
      <c r="AH204" s="1">
        <v>51457.33</v>
      </c>
      <c r="AI204" s="1">
        <v>0</v>
      </c>
      <c r="AJ204" s="1">
        <v>31690.58</v>
      </c>
      <c r="AK204" s="1">
        <v>0</v>
      </c>
      <c r="AL204" s="1">
        <v>21613.08</v>
      </c>
      <c r="AM204" s="9">
        <f t="shared" si="49"/>
        <v>0</v>
      </c>
      <c r="AN204" s="9">
        <f t="shared" si="50"/>
        <v>643275.9199999999</v>
      </c>
      <c r="AO204" s="248">
        <f t="shared" si="51"/>
        <v>643275.9199999999</v>
      </c>
      <c r="AP204" s="10"/>
      <c r="AQ204" s="10"/>
      <c r="AR204" s="10">
        <v>2077.6</v>
      </c>
      <c r="AS204" s="10">
        <v>1000</v>
      </c>
      <c r="AT204" s="163">
        <f t="shared" si="57"/>
        <v>646353.5199999999</v>
      </c>
      <c r="AU204" s="2"/>
      <c r="AV204" s="2"/>
      <c r="AW204" s="168"/>
      <c r="AX204" s="21">
        <f t="shared" si="52"/>
        <v>30928.099999999977</v>
      </c>
      <c r="AY204" s="26">
        <v>605184.89</v>
      </c>
    </row>
    <row r="205" spans="1:51" ht="15.75">
      <c r="A205" s="1">
        <v>197</v>
      </c>
      <c r="B205" s="1" t="s">
        <v>206</v>
      </c>
      <c r="C205" s="1">
        <v>625.4</v>
      </c>
      <c r="D205" s="1">
        <v>122.5</v>
      </c>
      <c r="E205" s="1">
        <f t="shared" si="56"/>
        <v>747.9</v>
      </c>
      <c r="F205" s="2">
        <v>9.16</v>
      </c>
      <c r="G205" s="2">
        <f t="shared" si="45"/>
        <v>6850.764</v>
      </c>
      <c r="H205" s="2">
        <f t="shared" si="47"/>
        <v>41104.584</v>
      </c>
      <c r="I205" s="2">
        <f t="shared" si="58"/>
        <v>9.16</v>
      </c>
      <c r="J205" s="2">
        <f t="shared" si="55"/>
        <v>6850.764</v>
      </c>
      <c r="K205" s="2">
        <f t="shared" si="48"/>
        <v>41104.584</v>
      </c>
      <c r="L205" s="13">
        <f t="shared" si="53"/>
        <v>82209.168</v>
      </c>
      <c r="M205" s="139">
        <v>-249447.88</v>
      </c>
      <c r="N205" s="34">
        <f t="shared" si="54"/>
        <v>-167238.712</v>
      </c>
      <c r="O205" s="152">
        <v>0</v>
      </c>
      <c r="P205" s="152">
        <v>29522.1</v>
      </c>
      <c r="Q205" s="1">
        <v>0</v>
      </c>
      <c r="R205" s="1">
        <v>5460.64</v>
      </c>
      <c r="S205" s="1">
        <v>0</v>
      </c>
      <c r="T205" s="1">
        <v>1922.1</v>
      </c>
      <c r="U205" s="33">
        <v>0</v>
      </c>
      <c r="V205" s="33">
        <v>24274.67</v>
      </c>
      <c r="W205" s="1">
        <v>0</v>
      </c>
      <c r="X205" s="1">
        <v>3282.76</v>
      </c>
      <c r="Y205" s="1">
        <v>0</v>
      </c>
      <c r="Z205" s="1">
        <v>1922.1</v>
      </c>
      <c r="AA205" s="33">
        <v>0</v>
      </c>
      <c r="AB205" s="33">
        <v>1922.1</v>
      </c>
      <c r="AC205" s="33">
        <v>0</v>
      </c>
      <c r="AD205" s="33">
        <v>3111.19</v>
      </c>
      <c r="AE205" s="33">
        <v>0</v>
      </c>
      <c r="AF205" s="33">
        <v>1922.1</v>
      </c>
      <c r="AG205" s="1">
        <v>0</v>
      </c>
      <c r="AH205" s="1">
        <v>1922.1</v>
      </c>
      <c r="AI205" s="1">
        <v>0</v>
      </c>
      <c r="AJ205" s="1">
        <v>2792.1</v>
      </c>
      <c r="AK205" s="1">
        <v>0</v>
      </c>
      <c r="AL205" s="1">
        <v>6927.28</v>
      </c>
      <c r="AM205" s="9">
        <f t="shared" si="49"/>
        <v>0</v>
      </c>
      <c r="AN205" s="9">
        <f t="shared" si="50"/>
        <v>84981.24000000002</v>
      </c>
      <c r="AO205" s="248">
        <f t="shared" si="51"/>
        <v>84981.24000000002</v>
      </c>
      <c r="AP205" s="10"/>
      <c r="AQ205" s="10">
        <v>4470</v>
      </c>
      <c r="AR205" s="10"/>
      <c r="AS205" s="10"/>
      <c r="AT205" s="163">
        <f t="shared" si="57"/>
        <v>89451.24000000002</v>
      </c>
      <c r="AU205" s="2"/>
      <c r="AV205" s="2"/>
      <c r="AW205" s="168"/>
      <c r="AX205" s="21">
        <f t="shared" si="52"/>
        <v>-256689.95200000002</v>
      </c>
      <c r="AY205" s="26">
        <v>87649.76</v>
      </c>
    </row>
    <row r="206" spans="1:51" ht="15.75">
      <c r="A206" s="1">
        <v>198</v>
      </c>
      <c r="B206" s="1" t="s">
        <v>207</v>
      </c>
      <c r="C206" s="1">
        <v>470.6</v>
      </c>
      <c r="D206" s="1">
        <v>0</v>
      </c>
      <c r="E206" s="1">
        <f t="shared" si="56"/>
        <v>470.6</v>
      </c>
      <c r="F206" s="2">
        <v>9.16</v>
      </c>
      <c r="G206" s="2">
        <f t="shared" si="45"/>
        <v>4310.696</v>
      </c>
      <c r="H206" s="2">
        <f t="shared" si="47"/>
        <v>25864.176</v>
      </c>
      <c r="I206" s="2">
        <f t="shared" si="58"/>
        <v>9.16</v>
      </c>
      <c r="J206" s="2">
        <f t="shared" si="55"/>
        <v>4310.696</v>
      </c>
      <c r="K206" s="2">
        <f t="shared" si="48"/>
        <v>25864.176</v>
      </c>
      <c r="L206" s="13">
        <f t="shared" si="53"/>
        <v>51728.352</v>
      </c>
      <c r="M206" s="139">
        <v>-173689.06</v>
      </c>
      <c r="N206" s="34">
        <f t="shared" si="54"/>
        <v>-121960.708</v>
      </c>
      <c r="O206" s="152">
        <v>0</v>
      </c>
      <c r="P206" s="152">
        <v>1209.44</v>
      </c>
      <c r="Q206" s="1">
        <v>0</v>
      </c>
      <c r="R206" s="1">
        <v>1209.44</v>
      </c>
      <c r="S206" s="1">
        <v>0</v>
      </c>
      <c r="T206" s="1">
        <v>1209.44</v>
      </c>
      <c r="U206" s="33">
        <v>0</v>
      </c>
      <c r="V206" s="33">
        <v>1789.44</v>
      </c>
      <c r="W206" s="1">
        <v>0</v>
      </c>
      <c r="X206" s="1">
        <v>3464.35</v>
      </c>
      <c r="Y206" s="1">
        <v>0</v>
      </c>
      <c r="Z206" s="1">
        <v>1209.44</v>
      </c>
      <c r="AA206" s="33">
        <v>0</v>
      </c>
      <c r="AB206" s="33">
        <v>1209.44</v>
      </c>
      <c r="AC206" s="33">
        <v>0</v>
      </c>
      <c r="AD206" s="33">
        <v>3892.15</v>
      </c>
      <c r="AE206" s="33">
        <v>0</v>
      </c>
      <c r="AF206" s="33">
        <v>29404.67</v>
      </c>
      <c r="AG206" s="1">
        <v>0</v>
      </c>
      <c r="AH206" s="1">
        <v>2369.85</v>
      </c>
      <c r="AI206" s="1">
        <v>0</v>
      </c>
      <c r="AJ206" s="1">
        <v>6182.69</v>
      </c>
      <c r="AK206" s="1">
        <v>0</v>
      </c>
      <c r="AL206" s="1">
        <v>1299.44</v>
      </c>
      <c r="AM206" s="9">
        <f t="shared" si="49"/>
        <v>0</v>
      </c>
      <c r="AN206" s="9">
        <f t="shared" si="50"/>
        <v>54449.79</v>
      </c>
      <c r="AO206" s="248">
        <f t="shared" si="51"/>
        <v>54449.79</v>
      </c>
      <c r="AP206" s="10"/>
      <c r="AQ206" s="10">
        <v>5728</v>
      </c>
      <c r="AR206" s="10"/>
      <c r="AS206" s="10"/>
      <c r="AT206" s="163">
        <f t="shared" si="57"/>
        <v>60177.79</v>
      </c>
      <c r="AU206" s="2"/>
      <c r="AV206" s="2"/>
      <c r="AW206" s="168"/>
      <c r="AX206" s="21">
        <f t="shared" si="52"/>
        <v>-182138.498</v>
      </c>
      <c r="AY206" s="26">
        <v>71097.29</v>
      </c>
    </row>
    <row r="207" spans="1:78" s="18" customFormat="1" ht="15.75">
      <c r="A207" s="1">
        <v>199</v>
      </c>
      <c r="B207" s="1" t="s">
        <v>208</v>
      </c>
      <c r="C207" s="1">
        <v>465.4</v>
      </c>
      <c r="D207" s="1">
        <v>0</v>
      </c>
      <c r="E207" s="1">
        <f t="shared" si="56"/>
        <v>465.4</v>
      </c>
      <c r="F207" s="2">
        <v>9.16</v>
      </c>
      <c r="G207" s="2">
        <f t="shared" si="45"/>
        <v>4263.064</v>
      </c>
      <c r="H207" s="2">
        <f t="shared" si="47"/>
        <v>25578.384000000002</v>
      </c>
      <c r="I207" s="2">
        <f t="shared" si="58"/>
        <v>9.16</v>
      </c>
      <c r="J207" s="2">
        <f t="shared" si="55"/>
        <v>4263.064</v>
      </c>
      <c r="K207" s="2">
        <f t="shared" si="48"/>
        <v>25578.384000000002</v>
      </c>
      <c r="L207" s="13">
        <f t="shared" si="53"/>
        <v>51156.768000000004</v>
      </c>
      <c r="M207" s="139">
        <v>-11433.02</v>
      </c>
      <c r="N207" s="34">
        <f t="shared" si="54"/>
        <v>39723.74800000001</v>
      </c>
      <c r="O207" s="152">
        <v>0</v>
      </c>
      <c r="P207" s="152">
        <v>10442.21</v>
      </c>
      <c r="Q207" s="1">
        <v>0</v>
      </c>
      <c r="R207" s="1">
        <v>1196.08</v>
      </c>
      <c r="S207" s="1">
        <v>0</v>
      </c>
      <c r="T207" s="1">
        <v>10504.97</v>
      </c>
      <c r="U207" s="33">
        <v>0</v>
      </c>
      <c r="V207" s="33">
        <v>1776.08</v>
      </c>
      <c r="W207" s="1">
        <v>0</v>
      </c>
      <c r="X207" s="1">
        <v>1196.08</v>
      </c>
      <c r="Y207" s="1">
        <v>0</v>
      </c>
      <c r="Z207" s="1">
        <v>1196.08</v>
      </c>
      <c r="AA207" s="33">
        <v>0</v>
      </c>
      <c r="AB207" s="33">
        <v>1196.08</v>
      </c>
      <c r="AC207" s="33">
        <v>0</v>
      </c>
      <c r="AD207" s="33">
        <v>4934.92</v>
      </c>
      <c r="AE207" s="33">
        <v>0</v>
      </c>
      <c r="AF207" s="33">
        <v>1196.08</v>
      </c>
      <c r="AG207" s="1">
        <v>0</v>
      </c>
      <c r="AH207" s="1">
        <v>2356.49</v>
      </c>
      <c r="AI207" s="1">
        <v>0</v>
      </c>
      <c r="AJ207" s="1">
        <v>1196.08</v>
      </c>
      <c r="AK207" s="1">
        <v>0</v>
      </c>
      <c r="AL207" s="1">
        <v>1196.08</v>
      </c>
      <c r="AM207" s="9">
        <f t="shared" si="49"/>
        <v>0</v>
      </c>
      <c r="AN207" s="9">
        <f t="shared" si="50"/>
        <v>38387.23</v>
      </c>
      <c r="AO207" s="248">
        <f t="shared" si="51"/>
        <v>38387.23</v>
      </c>
      <c r="AP207" s="10"/>
      <c r="AQ207" s="10">
        <v>3276</v>
      </c>
      <c r="AR207" s="10"/>
      <c r="AS207" s="10"/>
      <c r="AT207" s="163">
        <f t="shared" si="57"/>
        <v>41663.23</v>
      </c>
      <c r="AU207" s="2"/>
      <c r="AV207" s="2"/>
      <c r="AW207" s="168">
        <v>13836</v>
      </c>
      <c r="AX207" s="21">
        <f t="shared" si="52"/>
        <v>11896.518000000004</v>
      </c>
      <c r="AY207" s="26">
        <v>2813.96</v>
      </c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</row>
    <row r="208" spans="1:51" ht="15.75">
      <c r="A208" s="1">
        <v>200</v>
      </c>
      <c r="B208" s="1" t="s">
        <v>209</v>
      </c>
      <c r="C208" s="1">
        <v>458.4</v>
      </c>
      <c r="D208" s="1">
        <v>0</v>
      </c>
      <c r="E208" s="1">
        <f t="shared" si="56"/>
        <v>458.4</v>
      </c>
      <c r="F208" s="2">
        <v>13</v>
      </c>
      <c r="G208" s="2">
        <f t="shared" si="45"/>
        <v>5959.2</v>
      </c>
      <c r="H208" s="2">
        <f t="shared" si="47"/>
        <v>35755.2</v>
      </c>
      <c r="I208" s="2">
        <f t="shared" si="58"/>
        <v>13</v>
      </c>
      <c r="J208" s="2">
        <f t="shared" si="55"/>
        <v>5959.2</v>
      </c>
      <c r="K208" s="2">
        <f t="shared" si="48"/>
        <v>35755.2</v>
      </c>
      <c r="L208" s="13">
        <f t="shared" si="53"/>
        <v>71510.4</v>
      </c>
      <c r="M208" s="139">
        <v>-72796.7</v>
      </c>
      <c r="N208" s="34">
        <f t="shared" si="54"/>
        <v>-1286.300000000003</v>
      </c>
      <c r="O208" s="152">
        <v>0</v>
      </c>
      <c r="P208" s="152">
        <v>1178.09</v>
      </c>
      <c r="Q208" s="1">
        <v>0</v>
      </c>
      <c r="R208" s="1">
        <v>1661.85</v>
      </c>
      <c r="S208" s="1">
        <v>0</v>
      </c>
      <c r="T208" s="1">
        <v>5699.8</v>
      </c>
      <c r="U208" s="33">
        <v>0</v>
      </c>
      <c r="V208" s="33">
        <v>1758.09</v>
      </c>
      <c r="W208" s="1">
        <v>0</v>
      </c>
      <c r="X208" s="1">
        <v>30177.06</v>
      </c>
      <c r="Y208" s="1">
        <v>0</v>
      </c>
      <c r="Z208" s="1">
        <v>4967.27</v>
      </c>
      <c r="AA208" s="33">
        <v>0</v>
      </c>
      <c r="AB208" s="33">
        <v>2154.59</v>
      </c>
      <c r="AC208" s="33">
        <v>0</v>
      </c>
      <c r="AD208" s="33">
        <v>15544.75</v>
      </c>
      <c r="AE208" s="33">
        <v>0</v>
      </c>
      <c r="AF208" s="33">
        <v>1178.09</v>
      </c>
      <c r="AG208" s="1">
        <v>0</v>
      </c>
      <c r="AH208" s="1">
        <v>2338.5</v>
      </c>
      <c r="AI208" s="1">
        <v>0</v>
      </c>
      <c r="AJ208" s="1">
        <v>2408.99</v>
      </c>
      <c r="AK208" s="1">
        <v>0</v>
      </c>
      <c r="AL208" s="1">
        <v>1362.89</v>
      </c>
      <c r="AM208" s="9">
        <f t="shared" si="49"/>
        <v>0</v>
      </c>
      <c r="AN208" s="9">
        <f t="shared" si="50"/>
        <v>70429.97</v>
      </c>
      <c r="AO208" s="248">
        <f t="shared" si="51"/>
        <v>70429.97</v>
      </c>
      <c r="AP208" s="10"/>
      <c r="AQ208" s="10"/>
      <c r="AR208" s="10"/>
      <c r="AS208" s="10"/>
      <c r="AT208" s="163">
        <f t="shared" si="57"/>
        <v>70429.97</v>
      </c>
      <c r="AU208" s="2"/>
      <c r="AV208" s="2"/>
      <c r="AW208" s="168"/>
      <c r="AX208" s="21">
        <f t="shared" si="52"/>
        <v>-71716.27</v>
      </c>
      <c r="AY208" s="26">
        <v>17873.33</v>
      </c>
    </row>
    <row r="209" spans="1:51" ht="15.75">
      <c r="A209" s="1">
        <v>201</v>
      </c>
      <c r="B209" s="1" t="s">
        <v>210</v>
      </c>
      <c r="C209" s="1">
        <v>452.2</v>
      </c>
      <c r="D209" s="1">
        <v>0</v>
      </c>
      <c r="E209" s="1">
        <f t="shared" si="56"/>
        <v>452.2</v>
      </c>
      <c r="F209" s="2">
        <v>13</v>
      </c>
      <c r="G209" s="2">
        <f t="shared" si="45"/>
        <v>5878.599999999999</v>
      </c>
      <c r="H209" s="2">
        <f t="shared" si="47"/>
        <v>35271.6</v>
      </c>
      <c r="I209" s="2">
        <f t="shared" si="58"/>
        <v>13</v>
      </c>
      <c r="J209" s="2">
        <f t="shared" si="55"/>
        <v>5878.599999999999</v>
      </c>
      <c r="K209" s="2">
        <f t="shared" si="48"/>
        <v>35271.6</v>
      </c>
      <c r="L209" s="13">
        <f t="shared" si="53"/>
        <v>70543.2</v>
      </c>
      <c r="M209" s="139">
        <v>-36163.18</v>
      </c>
      <c r="N209" s="34">
        <f t="shared" si="54"/>
        <v>34380.02</v>
      </c>
      <c r="O209" s="152">
        <v>0</v>
      </c>
      <c r="P209" s="152">
        <v>1392.15</v>
      </c>
      <c r="Q209" s="1">
        <v>0</v>
      </c>
      <c r="R209" s="1">
        <v>10947.42</v>
      </c>
      <c r="S209" s="1">
        <v>0</v>
      </c>
      <c r="T209" s="1">
        <v>24656.44</v>
      </c>
      <c r="U209" s="33">
        <v>0</v>
      </c>
      <c r="V209" s="33">
        <v>18567.55</v>
      </c>
      <c r="W209" s="1">
        <v>0</v>
      </c>
      <c r="X209" s="1">
        <v>3206.36</v>
      </c>
      <c r="Y209" s="1">
        <v>0</v>
      </c>
      <c r="Z209" s="1">
        <v>1392.15</v>
      </c>
      <c r="AA209" s="33">
        <v>0</v>
      </c>
      <c r="AB209" s="33">
        <v>2060.65</v>
      </c>
      <c r="AC209" s="33">
        <v>0</v>
      </c>
      <c r="AD209" s="33">
        <v>5130.99</v>
      </c>
      <c r="AE209" s="33">
        <v>0</v>
      </c>
      <c r="AF209" s="33">
        <v>1392.15</v>
      </c>
      <c r="AG209" s="1">
        <v>0</v>
      </c>
      <c r="AH209" s="1">
        <v>2552.56</v>
      </c>
      <c r="AI209" s="1">
        <v>0</v>
      </c>
      <c r="AJ209" s="1">
        <v>4678.32</v>
      </c>
      <c r="AK209" s="1">
        <v>0</v>
      </c>
      <c r="AL209" s="1">
        <v>1576.95</v>
      </c>
      <c r="AM209" s="9">
        <f t="shared" si="49"/>
        <v>0</v>
      </c>
      <c r="AN209" s="9">
        <f t="shared" si="50"/>
        <v>77553.68999999999</v>
      </c>
      <c r="AO209" s="248">
        <f t="shared" si="51"/>
        <v>77553.68999999999</v>
      </c>
      <c r="AP209" s="10"/>
      <c r="AQ209" s="10"/>
      <c r="AR209" s="10"/>
      <c r="AS209" s="10"/>
      <c r="AT209" s="163">
        <f t="shared" si="57"/>
        <v>77553.68999999999</v>
      </c>
      <c r="AU209" s="2"/>
      <c r="AV209" s="2"/>
      <c r="AW209" s="168"/>
      <c r="AX209" s="21">
        <f t="shared" si="52"/>
        <v>-43173.66999999999</v>
      </c>
      <c r="AY209" s="26">
        <v>81843.64</v>
      </c>
    </row>
    <row r="210" spans="1:51" ht="15.75">
      <c r="A210" s="1">
        <v>202</v>
      </c>
      <c r="B210" s="1" t="s">
        <v>211</v>
      </c>
      <c r="C210" s="1">
        <v>4870.43</v>
      </c>
      <c r="D210" s="1">
        <v>0</v>
      </c>
      <c r="E210" s="1">
        <f t="shared" si="56"/>
        <v>4870.43</v>
      </c>
      <c r="F210" s="2">
        <v>14.97</v>
      </c>
      <c r="G210" s="2">
        <f t="shared" si="45"/>
        <v>72910.3371</v>
      </c>
      <c r="H210" s="2">
        <f t="shared" si="47"/>
        <v>437462.0226</v>
      </c>
      <c r="I210" s="2">
        <f t="shared" si="58"/>
        <v>14.97</v>
      </c>
      <c r="J210" s="2">
        <f t="shared" si="55"/>
        <v>72910.3371</v>
      </c>
      <c r="K210" s="2">
        <f t="shared" si="48"/>
        <v>437462.0226</v>
      </c>
      <c r="L210" s="13">
        <f t="shared" si="53"/>
        <v>874924.0452</v>
      </c>
      <c r="M210" s="139"/>
      <c r="N210" s="34">
        <f t="shared" si="54"/>
        <v>874924.0452</v>
      </c>
      <c r="O210" s="152">
        <v>80640.29</v>
      </c>
      <c r="P210" s="152">
        <v>15082.16</v>
      </c>
      <c r="Q210" s="1">
        <v>17680.65</v>
      </c>
      <c r="R210" s="1">
        <v>15194.84</v>
      </c>
      <c r="S210" s="1">
        <v>16316.17</v>
      </c>
      <c r="T210" s="1">
        <v>22610.86</v>
      </c>
      <c r="U210" s="33">
        <v>9415.14</v>
      </c>
      <c r="V210" s="33">
        <v>37885.02</v>
      </c>
      <c r="W210" s="1">
        <v>19092.09</v>
      </c>
      <c r="X210" s="1">
        <v>12747.01</v>
      </c>
      <c r="Y210" s="1">
        <v>28175.22</v>
      </c>
      <c r="Z210" s="1">
        <v>39387.82</v>
      </c>
      <c r="AA210" s="33">
        <v>30268.08</v>
      </c>
      <c r="AB210" s="33">
        <v>12747.01</v>
      </c>
      <c r="AC210" s="33">
        <v>50924.54</v>
      </c>
      <c r="AD210" s="33">
        <v>18940.17</v>
      </c>
      <c r="AE210" s="33">
        <v>35533.17</v>
      </c>
      <c r="AF210" s="33">
        <v>124566.76</v>
      </c>
      <c r="AG210" s="1">
        <v>35130.07</v>
      </c>
      <c r="AH210" s="1">
        <v>17985.83</v>
      </c>
      <c r="AI210" s="1">
        <v>11760.73</v>
      </c>
      <c r="AJ210" s="1">
        <v>19033.37</v>
      </c>
      <c r="AK210" s="1">
        <v>95285.71</v>
      </c>
      <c r="AL210" s="1">
        <v>25535.24</v>
      </c>
      <c r="AM210" s="9">
        <f t="shared" si="49"/>
        <v>430221.86000000004</v>
      </c>
      <c r="AN210" s="9">
        <f t="shared" si="50"/>
        <v>361716.09</v>
      </c>
      <c r="AO210" s="248">
        <f t="shared" si="51"/>
        <v>791937.9500000001</v>
      </c>
      <c r="AP210" s="10"/>
      <c r="AQ210" s="10">
        <f>(241578.57-33662.17)</f>
        <v>207916.40000000002</v>
      </c>
      <c r="AR210" s="10"/>
      <c r="AS210" s="10"/>
      <c r="AT210" s="163">
        <f t="shared" si="57"/>
        <v>999854.3500000001</v>
      </c>
      <c r="AU210" s="2"/>
      <c r="AV210" s="2"/>
      <c r="AW210" s="168"/>
      <c r="AX210" s="21">
        <f t="shared" si="52"/>
        <v>-124930.30480000004</v>
      </c>
      <c r="AY210" s="26">
        <v>360680.95</v>
      </c>
    </row>
    <row r="211" spans="1:51" ht="15.75">
      <c r="A211" s="1">
        <v>203</v>
      </c>
      <c r="B211" s="1" t="s">
        <v>212</v>
      </c>
      <c r="C211" s="1">
        <v>753.3</v>
      </c>
      <c r="D211" s="1">
        <v>0</v>
      </c>
      <c r="E211" s="1">
        <f t="shared" si="56"/>
        <v>753.3</v>
      </c>
      <c r="F211" s="2">
        <v>13</v>
      </c>
      <c r="G211" s="2">
        <f t="shared" si="45"/>
        <v>9792.9</v>
      </c>
      <c r="H211" s="2">
        <f t="shared" si="47"/>
        <v>58757.399999999994</v>
      </c>
      <c r="I211" s="2">
        <f t="shared" si="58"/>
        <v>13</v>
      </c>
      <c r="J211" s="2">
        <f t="shared" si="55"/>
        <v>9792.9</v>
      </c>
      <c r="K211" s="2">
        <f t="shared" si="48"/>
        <v>58757.399999999994</v>
      </c>
      <c r="L211" s="13">
        <f t="shared" si="53"/>
        <v>117514.79999999999</v>
      </c>
      <c r="M211" s="139">
        <v>-12884.98</v>
      </c>
      <c r="N211" s="34">
        <f t="shared" si="54"/>
        <v>104629.81999999999</v>
      </c>
      <c r="O211" s="152">
        <v>0</v>
      </c>
      <c r="P211" s="152">
        <v>2395.98</v>
      </c>
      <c r="Q211" s="1">
        <v>0</v>
      </c>
      <c r="R211" s="1">
        <v>2395.98</v>
      </c>
      <c r="S211" s="1">
        <v>0</v>
      </c>
      <c r="T211" s="1">
        <v>2395.98</v>
      </c>
      <c r="U211" s="33">
        <v>0</v>
      </c>
      <c r="V211" s="33">
        <v>4396.92</v>
      </c>
      <c r="W211" s="1">
        <v>0</v>
      </c>
      <c r="X211" s="1">
        <v>31061.45</v>
      </c>
      <c r="Y211" s="1">
        <v>0</v>
      </c>
      <c r="Z211" s="1">
        <v>10905.62</v>
      </c>
      <c r="AA211" s="33">
        <v>0</v>
      </c>
      <c r="AB211" s="33">
        <v>3386.48</v>
      </c>
      <c r="AC211" s="33">
        <v>0</v>
      </c>
      <c r="AD211" s="33">
        <v>4492.17</v>
      </c>
      <c r="AE211" s="33">
        <v>0</v>
      </c>
      <c r="AF211" s="33">
        <v>2395.98</v>
      </c>
      <c r="AG211" s="1">
        <v>0</v>
      </c>
      <c r="AH211" s="1">
        <v>3556.39</v>
      </c>
      <c r="AI211" s="1">
        <v>0</v>
      </c>
      <c r="AJ211" s="1">
        <v>7434.57</v>
      </c>
      <c r="AK211" s="1">
        <v>0</v>
      </c>
      <c r="AL211" s="1">
        <v>4763.61</v>
      </c>
      <c r="AM211" s="9">
        <f t="shared" si="49"/>
        <v>0</v>
      </c>
      <c r="AN211" s="9">
        <f t="shared" si="50"/>
        <v>79581.13000000002</v>
      </c>
      <c r="AO211" s="248">
        <f t="shared" si="51"/>
        <v>79581.13000000002</v>
      </c>
      <c r="AP211" s="10"/>
      <c r="AQ211" s="10"/>
      <c r="AR211" s="10"/>
      <c r="AS211" s="10"/>
      <c r="AT211" s="163">
        <f t="shared" si="57"/>
        <v>79581.13000000002</v>
      </c>
      <c r="AU211" s="2"/>
      <c r="AV211" s="2"/>
      <c r="AW211" s="168"/>
      <c r="AX211" s="21">
        <f t="shared" si="52"/>
        <v>25048.689999999973</v>
      </c>
      <c r="AY211" s="26">
        <v>78149.23</v>
      </c>
    </row>
    <row r="212" spans="1:51" ht="15.75">
      <c r="A212" s="1">
        <v>204</v>
      </c>
      <c r="B212" s="1" t="s">
        <v>213</v>
      </c>
      <c r="C212" s="1">
        <v>1015.2</v>
      </c>
      <c r="D212" s="1">
        <v>480.6</v>
      </c>
      <c r="E212" s="1">
        <f t="shared" si="56"/>
        <v>1495.8000000000002</v>
      </c>
      <c r="F212" s="2">
        <v>13</v>
      </c>
      <c r="G212" s="2">
        <f t="shared" si="45"/>
        <v>19445.4</v>
      </c>
      <c r="H212" s="2">
        <f t="shared" si="47"/>
        <v>116672.40000000001</v>
      </c>
      <c r="I212" s="2">
        <f t="shared" si="58"/>
        <v>13</v>
      </c>
      <c r="J212" s="2">
        <f t="shared" si="55"/>
        <v>19445.4</v>
      </c>
      <c r="K212" s="2">
        <f t="shared" si="48"/>
        <v>116672.40000000001</v>
      </c>
      <c r="L212" s="13">
        <f t="shared" si="53"/>
        <v>233344.80000000002</v>
      </c>
      <c r="M212" s="139">
        <v>-5605.07</v>
      </c>
      <c r="N212" s="34">
        <f t="shared" si="54"/>
        <v>227739.73</v>
      </c>
      <c r="O212" s="152">
        <v>0</v>
      </c>
      <c r="P212" s="152">
        <v>47024.21</v>
      </c>
      <c r="Q212" s="1">
        <v>0</v>
      </c>
      <c r="R212" s="1">
        <v>19118.12</v>
      </c>
      <c r="S212" s="1">
        <v>0</v>
      </c>
      <c r="T212" s="1">
        <v>13362.74</v>
      </c>
      <c r="U212" s="33">
        <v>0</v>
      </c>
      <c r="V212" s="33">
        <v>101354.27</v>
      </c>
      <c r="W212" s="1">
        <v>0</v>
      </c>
      <c r="X212" s="1">
        <v>12986.55</v>
      </c>
      <c r="Y212" s="1">
        <v>0</v>
      </c>
      <c r="Z212" s="1">
        <v>3844.21</v>
      </c>
      <c r="AA212" s="33">
        <v>0</v>
      </c>
      <c r="AB212" s="33">
        <v>4362.21</v>
      </c>
      <c r="AC212" s="33">
        <v>0</v>
      </c>
      <c r="AD212" s="33">
        <v>48932.39</v>
      </c>
      <c r="AE212" s="33">
        <v>0</v>
      </c>
      <c r="AF212" s="33">
        <v>9490.86</v>
      </c>
      <c r="AG212" s="1">
        <v>0</v>
      </c>
      <c r="AH212" s="1">
        <v>9344.35</v>
      </c>
      <c r="AI212" s="1">
        <v>0</v>
      </c>
      <c r="AJ212" s="1">
        <v>5584.21</v>
      </c>
      <c r="AK212" s="1">
        <v>0</v>
      </c>
      <c r="AL212" s="1">
        <v>7865.46</v>
      </c>
      <c r="AM212" s="9">
        <f t="shared" si="49"/>
        <v>0</v>
      </c>
      <c r="AN212" s="9">
        <f t="shared" si="50"/>
        <v>283269.58</v>
      </c>
      <c r="AO212" s="248">
        <f t="shared" si="51"/>
        <v>283269.58</v>
      </c>
      <c r="AP212" s="10"/>
      <c r="AQ212" s="10">
        <v>6261</v>
      </c>
      <c r="AR212" s="10"/>
      <c r="AS212" s="10"/>
      <c r="AT212" s="163">
        <f t="shared" si="57"/>
        <v>289530.58</v>
      </c>
      <c r="AU212" s="2"/>
      <c r="AV212" s="2"/>
      <c r="AW212" s="168"/>
      <c r="AX212" s="21">
        <f t="shared" si="52"/>
        <v>-61790.850000000006</v>
      </c>
      <c r="AY212" s="26">
        <v>10087.95</v>
      </c>
    </row>
    <row r="213" spans="1:51" ht="15.75">
      <c r="A213" s="1">
        <v>205</v>
      </c>
      <c r="B213" s="1" t="s">
        <v>214</v>
      </c>
      <c r="C213" s="1">
        <v>1468.9</v>
      </c>
      <c r="D213" s="1">
        <v>705.6</v>
      </c>
      <c r="E213" s="1">
        <f t="shared" si="56"/>
        <v>2174.5</v>
      </c>
      <c r="F213" s="2">
        <v>13.84</v>
      </c>
      <c r="G213" s="2">
        <f t="shared" si="45"/>
        <v>30095.079999999998</v>
      </c>
      <c r="H213" s="2">
        <f t="shared" si="47"/>
        <v>180570.47999999998</v>
      </c>
      <c r="I213" s="2">
        <f t="shared" si="58"/>
        <v>13.84</v>
      </c>
      <c r="J213" s="2">
        <f t="shared" si="55"/>
        <v>30095.079999999998</v>
      </c>
      <c r="K213" s="2">
        <f t="shared" si="48"/>
        <v>180570.47999999998</v>
      </c>
      <c r="L213" s="13">
        <f t="shared" si="53"/>
        <v>361140.95999999996</v>
      </c>
      <c r="M213" s="139">
        <v>-163826.27</v>
      </c>
      <c r="N213" s="34">
        <f t="shared" si="54"/>
        <v>197314.68999999997</v>
      </c>
      <c r="O213" s="152">
        <v>0</v>
      </c>
      <c r="P213" s="152">
        <v>48998.47</v>
      </c>
      <c r="Q213" s="1">
        <v>0</v>
      </c>
      <c r="R213" s="1">
        <v>20214.49</v>
      </c>
      <c r="S213" s="1">
        <v>0</v>
      </c>
      <c r="T213" s="1">
        <v>38875.12</v>
      </c>
      <c r="U213" s="33">
        <v>0</v>
      </c>
      <c r="V213" s="33">
        <v>22972.38</v>
      </c>
      <c r="W213" s="1">
        <v>0</v>
      </c>
      <c r="X213" s="1">
        <v>24463.61</v>
      </c>
      <c r="Y213" s="1">
        <v>0</v>
      </c>
      <c r="Z213" s="1">
        <v>35907.72</v>
      </c>
      <c r="AA213" s="33">
        <v>0</v>
      </c>
      <c r="AB213" s="33">
        <v>26195.94</v>
      </c>
      <c r="AC213" s="33">
        <v>0</v>
      </c>
      <c r="AD213" s="33">
        <v>29135.7</v>
      </c>
      <c r="AE213" s="33">
        <v>0</v>
      </c>
      <c r="AF213" s="33">
        <v>16502.74</v>
      </c>
      <c r="AG213" s="1">
        <v>0</v>
      </c>
      <c r="AH213" s="1">
        <v>11795.89</v>
      </c>
      <c r="AI213" s="1">
        <v>0</v>
      </c>
      <c r="AJ213" s="1">
        <v>11456.24</v>
      </c>
      <c r="AK213" s="1">
        <v>0</v>
      </c>
      <c r="AL213" s="1">
        <v>12588.25</v>
      </c>
      <c r="AM213" s="9">
        <f t="shared" si="49"/>
        <v>0</v>
      </c>
      <c r="AN213" s="9">
        <f t="shared" si="50"/>
        <v>299106.55000000005</v>
      </c>
      <c r="AO213" s="248">
        <f t="shared" si="51"/>
        <v>299106.55000000005</v>
      </c>
      <c r="AP213" s="10"/>
      <c r="AQ213" s="10">
        <f>(116607.67-49822.41)+13306</f>
        <v>80091.26</v>
      </c>
      <c r="AR213" s="10"/>
      <c r="AS213" s="10"/>
      <c r="AT213" s="163">
        <f t="shared" si="57"/>
        <v>379197.81000000006</v>
      </c>
      <c r="AU213" s="2"/>
      <c r="AV213" s="2"/>
      <c r="AW213" s="168"/>
      <c r="AX213" s="21">
        <f t="shared" si="52"/>
        <v>-181883.12000000008</v>
      </c>
      <c r="AY213" s="26">
        <v>53863.2</v>
      </c>
    </row>
    <row r="214" spans="1:51" ht="15.75">
      <c r="A214" s="1">
        <v>206</v>
      </c>
      <c r="B214" s="1" t="s">
        <v>215</v>
      </c>
      <c r="C214" s="1">
        <v>5673</v>
      </c>
      <c r="D214" s="1">
        <v>157.5</v>
      </c>
      <c r="E214" s="1">
        <f t="shared" si="56"/>
        <v>5830.5</v>
      </c>
      <c r="F214" s="2">
        <v>14.97</v>
      </c>
      <c r="G214" s="2">
        <f t="shared" si="45"/>
        <v>87282.585</v>
      </c>
      <c r="H214" s="2">
        <f t="shared" si="47"/>
        <v>523695.51</v>
      </c>
      <c r="I214" s="2">
        <f t="shared" si="58"/>
        <v>14.97</v>
      </c>
      <c r="J214" s="2">
        <f t="shared" si="55"/>
        <v>87282.585</v>
      </c>
      <c r="K214" s="2">
        <f t="shared" si="48"/>
        <v>523695.51</v>
      </c>
      <c r="L214" s="13">
        <f t="shared" si="53"/>
        <v>1047391.02</v>
      </c>
      <c r="M214" s="139"/>
      <c r="N214" s="34">
        <f t="shared" si="54"/>
        <v>1047391.02</v>
      </c>
      <c r="O214" s="152">
        <v>28431.61</v>
      </c>
      <c r="P214" s="152">
        <v>15447.21</v>
      </c>
      <c r="Q214" s="1">
        <v>101129.95</v>
      </c>
      <c r="R214" s="1">
        <v>27850.21</v>
      </c>
      <c r="S214" s="1">
        <v>19621.41</v>
      </c>
      <c r="T214" s="1">
        <v>25586.05</v>
      </c>
      <c r="U214" s="33">
        <v>13357.41</v>
      </c>
      <c r="V214" s="33">
        <v>31386.66</v>
      </c>
      <c r="W214" s="1">
        <v>24436.15</v>
      </c>
      <c r="X214" s="1">
        <v>17105.63</v>
      </c>
      <c r="Y214" s="1">
        <v>22859.87</v>
      </c>
      <c r="Z214" s="1">
        <v>36013.42</v>
      </c>
      <c r="AA214" s="33">
        <v>37372.35</v>
      </c>
      <c r="AB214" s="33">
        <v>77653.49</v>
      </c>
      <c r="AC214" s="33">
        <v>132510.21</v>
      </c>
      <c r="AD214" s="33">
        <v>61611.43</v>
      </c>
      <c r="AE214" s="33">
        <v>22859.87</v>
      </c>
      <c r="AF214" s="33">
        <v>85919.79</v>
      </c>
      <c r="AG214" s="1">
        <v>33848.07</v>
      </c>
      <c r="AH214" s="1">
        <v>18088.22</v>
      </c>
      <c r="AI214" s="1">
        <v>94538.41</v>
      </c>
      <c r="AJ214" s="1">
        <v>17005.5</v>
      </c>
      <c r="AK214" s="1">
        <v>74463.54</v>
      </c>
      <c r="AL214" s="1">
        <v>28793.77</v>
      </c>
      <c r="AM214" s="9">
        <f t="shared" si="49"/>
        <v>605428.85</v>
      </c>
      <c r="AN214" s="9">
        <f t="shared" si="50"/>
        <v>442461.38</v>
      </c>
      <c r="AO214" s="248">
        <f t="shared" si="51"/>
        <v>1047890.23</v>
      </c>
      <c r="AP214" s="10"/>
      <c r="AQ214" s="10"/>
      <c r="AR214" s="10"/>
      <c r="AS214" s="10">
        <v>1000</v>
      </c>
      <c r="AT214" s="163">
        <f t="shared" si="57"/>
        <v>1048890.23</v>
      </c>
      <c r="AU214" s="2"/>
      <c r="AV214" s="2"/>
      <c r="AW214" s="168">
        <v>4128</v>
      </c>
      <c r="AX214" s="21">
        <f t="shared" si="52"/>
        <v>2628.7900000000373</v>
      </c>
      <c r="AY214" s="26">
        <v>306253.69</v>
      </c>
    </row>
    <row r="215" spans="1:51" ht="15.75">
      <c r="A215" s="1">
        <v>207</v>
      </c>
      <c r="B215" s="1" t="s">
        <v>216</v>
      </c>
      <c r="C215" s="1">
        <v>2470.3</v>
      </c>
      <c r="D215" s="1">
        <v>0</v>
      </c>
      <c r="E215" s="1">
        <f t="shared" si="56"/>
        <v>2470.3</v>
      </c>
      <c r="F215" s="2">
        <v>14.96</v>
      </c>
      <c r="G215" s="2">
        <f t="shared" si="45"/>
        <v>36955.688</v>
      </c>
      <c r="H215" s="2">
        <f t="shared" si="47"/>
        <v>221734.12800000003</v>
      </c>
      <c r="I215" s="2">
        <f t="shared" si="58"/>
        <v>14.96</v>
      </c>
      <c r="J215" s="2">
        <f t="shared" si="55"/>
        <v>36955.688</v>
      </c>
      <c r="K215" s="2">
        <f t="shared" si="48"/>
        <v>221734.12800000003</v>
      </c>
      <c r="L215" s="13">
        <f t="shared" si="53"/>
        <v>443468.25600000005</v>
      </c>
      <c r="M215" s="139"/>
      <c r="N215" s="34">
        <f t="shared" si="54"/>
        <v>443468.25600000005</v>
      </c>
      <c r="O215" s="152">
        <v>4545.35</v>
      </c>
      <c r="P215" s="152">
        <v>6578.67</v>
      </c>
      <c r="Q215" s="1">
        <v>49038.86</v>
      </c>
      <c r="R215" s="1">
        <v>10149.82</v>
      </c>
      <c r="S215" s="1">
        <v>5681.58</v>
      </c>
      <c r="T215" s="1">
        <v>7911.86</v>
      </c>
      <c r="U215" s="33">
        <v>5016.15</v>
      </c>
      <c r="V215" s="33">
        <v>12383.04</v>
      </c>
      <c r="W215" s="1">
        <v>9683.58</v>
      </c>
      <c r="X215" s="1">
        <v>8237.09</v>
      </c>
      <c r="Y215" s="1">
        <v>10480.61</v>
      </c>
      <c r="Z215" s="1">
        <v>15767.39</v>
      </c>
      <c r="AA215" s="33">
        <v>13742.83</v>
      </c>
      <c r="AB215" s="33">
        <v>6578.67</v>
      </c>
      <c r="AC215" s="33">
        <v>31863.01</v>
      </c>
      <c r="AD215" s="33">
        <v>6578.67</v>
      </c>
      <c r="AE215" s="33">
        <v>74030.41</v>
      </c>
      <c r="AF215" s="33">
        <v>6578.67</v>
      </c>
      <c r="AG215" s="1">
        <v>6144.44</v>
      </c>
      <c r="AH215" s="1">
        <v>10085.33</v>
      </c>
      <c r="AI215" s="1">
        <v>-25617.15</v>
      </c>
      <c r="AJ215" s="1">
        <v>7448.67</v>
      </c>
      <c r="AK215" s="1">
        <v>9699.89</v>
      </c>
      <c r="AL215" s="1">
        <v>6578.67</v>
      </c>
      <c r="AM215" s="9">
        <f t="shared" si="49"/>
        <v>194309.56</v>
      </c>
      <c r="AN215" s="9">
        <f t="shared" si="50"/>
        <v>104876.54999999999</v>
      </c>
      <c r="AO215" s="248">
        <f t="shared" si="51"/>
        <v>299186.11</v>
      </c>
      <c r="AP215" s="10"/>
      <c r="AQ215" s="10">
        <f>141606.48-24334.22</f>
        <v>117272.26000000001</v>
      </c>
      <c r="AR215" s="10">
        <v>1259.43</v>
      </c>
      <c r="AS215" s="10"/>
      <c r="AT215" s="163">
        <f t="shared" si="57"/>
        <v>417717.8</v>
      </c>
      <c r="AU215" s="2"/>
      <c r="AV215" s="2"/>
      <c r="AW215" s="168"/>
      <c r="AX215" s="21">
        <f t="shared" si="52"/>
        <v>25750.456000000064</v>
      </c>
      <c r="AY215" s="26">
        <v>56522.76</v>
      </c>
    </row>
    <row r="216" spans="1:51" ht="15.75">
      <c r="A216" s="1">
        <v>208</v>
      </c>
      <c r="B216" s="27" t="s">
        <v>362</v>
      </c>
      <c r="C216" s="1">
        <v>1640.7</v>
      </c>
      <c r="D216" s="1">
        <v>0</v>
      </c>
      <c r="E216" s="1">
        <f t="shared" si="56"/>
        <v>1640.7</v>
      </c>
      <c r="F216" s="2">
        <v>14.32</v>
      </c>
      <c r="G216" s="2">
        <f t="shared" si="45"/>
        <v>23494.824</v>
      </c>
      <c r="H216" s="2">
        <f t="shared" si="47"/>
        <v>140968.94400000002</v>
      </c>
      <c r="I216" s="2">
        <f t="shared" si="58"/>
        <v>14.32</v>
      </c>
      <c r="J216" s="2">
        <f t="shared" si="55"/>
        <v>23494.824</v>
      </c>
      <c r="K216" s="2">
        <f t="shared" si="48"/>
        <v>140968.94400000002</v>
      </c>
      <c r="L216" s="13">
        <f t="shared" si="53"/>
        <v>281937.88800000004</v>
      </c>
      <c r="M216" s="139"/>
      <c r="N216" s="34">
        <f t="shared" si="54"/>
        <v>281937.88800000004</v>
      </c>
      <c r="O216" s="152">
        <v>25720.32</v>
      </c>
      <c r="P216" s="152">
        <v>4446.6</v>
      </c>
      <c r="Q216" s="1">
        <v>9363.92</v>
      </c>
      <c r="R216" s="1">
        <v>4446.6</v>
      </c>
      <c r="S216" s="1">
        <v>21108.73</v>
      </c>
      <c r="T216" s="1">
        <v>10254.51</v>
      </c>
      <c r="U216" s="33">
        <v>14474.07</v>
      </c>
      <c r="V216" s="33">
        <v>5606.6</v>
      </c>
      <c r="W216" s="1">
        <v>6431.54</v>
      </c>
      <c r="X216" s="1">
        <v>4446.6</v>
      </c>
      <c r="Y216" s="1">
        <v>6431.54</v>
      </c>
      <c r="Z216" s="1">
        <v>4446.6</v>
      </c>
      <c r="AA216" s="33">
        <v>7338.64</v>
      </c>
      <c r="AB216" s="33">
        <v>4446.6</v>
      </c>
      <c r="AC216" s="33">
        <v>6431.54</v>
      </c>
      <c r="AD216" s="33">
        <v>11338.14</v>
      </c>
      <c r="AE216" s="33">
        <v>17670.95</v>
      </c>
      <c r="AF216" s="33">
        <v>4446.6</v>
      </c>
      <c r="AG216" s="1">
        <v>6913.92</v>
      </c>
      <c r="AH216" s="1">
        <v>5607.01</v>
      </c>
      <c r="AI216" s="1">
        <v>4419.13</v>
      </c>
      <c r="AJ216" s="1">
        <v>4446.6</v>
      </c>
      <c r="AK216" s="1">
        <v>4154.28</v>
      </c>
      <c r="AL216" s="1">
        <v>22421.42</v>
      </c>
      <c r="AM216" s="9">
        <f t="shared" si="49"/>
        <v>130458.57999999999</v>
      </c>
      <c r="AN216" s="9">
        <f t="shared" si="50"/>
        <v>86353.87999999999</v>
      </c>
      <c r="AO216" s="248">
        <f t="shared" si="51"/>
        <v>216812.45999999996</v>
      </c>
      <c r="AP216" s="10"/>
      <c r="AQ216" s="10"/>
      <c r="AR216" s="10"/>
      <c r="AS216" s="10">
        <v>1000</v>
      </c>
      <c r="AT216" s="163">
        <f t="shared" si="57"/>
        <v>217812.45999999996</v>
      </c>
      <c r="AU216" s="2"/>
      <c r="AV216" s="2"/>
      <c r="AW216" s="168"/>
      <c r="AX216" s="21">
        <f t="shared" si="52"/>
        <v>64125.42800000007</v>
      </c>
      <c r="AY216" s="26">
        <f>422150.07+28754.52</f>
        <v>450904.59</v>
      </c>
    </row>
    <row r="217" spans="1:51" ht="15.75">
      <c r="A217" s="1">
        <v>209</v>
      </c>
      <c r="B217" s="1" t="s">
        <v>217</v>
      </c>
      <c r="C217" s="1">
        <v>1479.2</v>
      </c>
      <c r="D217" s="1">
        <v>305.1</v>
      </c>
      <c r="E217" s="1">
        <f t="shared" si="56"/>
        <v>1784.3000000000002</v>
      </c>
      <c r="F217" s="2">
        <v>13.87</v>
      </c>
      <c r="G217" s="2">
        <f t="shared" si="45"/>
        <v>24748.241</v>
      </c>
      <c r="H217" s="2">
        <f t="shared" si="47"/>
        <v>148489.446</v>
      </c>
      <c r="I217" s="2">
        <f t="shared" si="58"/>
        <v>13.87</v>
      </c>
      <c r="J217" s="2">
        <f t="shared" si="55"/>
        <v>24748.241</v>
      </c>
      <c r="K217" s="2">
        <f t="shared" si="48"/>
        <v>148489.446</v>
      </c>
      <c r="L217" s="13">
        <f t="shared" si="53"/>
        <v>296978.892</v>
      </c>
      <c r="M217" s="139">
        <v>-182383.48</v>
      </c>
      <c r="N217" s="34">
        <f t="shared" si="54"/>
        <v>114595.41199999998</v>
      </c>
      <c r="O217" s="152">
        <v>0</v>
      </c>
      <c r="P217" s="152">
        <v>4815.65</v>
      </c>
      <c r="Q217" s="1">
        <v>0</v>
      </c>
      <c r="R217" s="1">
        <v>21411.26</v>
      </c>
      <c r="S217" s="1">
        <v>0</v>
      </c>
      <c r="T217" s="1">
        <v>27512.27</v>
      </c>
      <c r="U217" s="33">
        <v>0</v>
      </c>
      <c r="V217" s="33">
        <v>19534.79</v>
      </c>
      <c r="W217" s="1">
        <v>0</v>
      </c>
      <c r="X217" s="1">
        <v>11157.62</v>
      </c>
      <c r="Y217" s="1">
        <v>0</v>
      </c>
      <c r="Z217" s="1">
        <v>48227.95</v>
      </c>
      <c r="AA217" s="33">
        <v>0</v>
      </c>
      <c r="AB217" s="33">
        <v>93041.5</v>
      </c>
      <c r="AC217" s="33">
        <v>0</v>
      </c>
      <c r="AD217" s="33">
        <v>26722.89</v>
      </c>
      <c r="AE217" s="33">
        <v>0</v>
      </c>
      <c r="AF217" s="33">
        <v>10430.37</v>
      </c>
      <c r="AG217" s="1">
        <v>0</v>
      </c>
      <c r="AH217" s="1">
        <v>17425.17</v>
      </c>
      <c r="AI217" s="1">
        <v>0</v>
      </c>
      <c r="AJ217" s="1">
        <v>9309.19</v>
      </c>
      <c r="AK217" s="1">
        <v>0</v>
      </c>
      <c r="AL217" s="1">
        <v>39198.83</v>
      </c>
      <c r="AM217" s="9">
        <f t="shared" si="49"/>
        <v>0</v>
      </c>
      <c r="AN217" s="9">
        <f t="shared" si="50"/>
        <v>328787.49</v>
      </c>
      <c r="AO217" s="248">
        <f t="shared" si="51"/>
        <v>328787.49</v>
      </c>
      <c r="AP217" s="10"/>
      <c r="AQ217" s="10">
        <f>(194415.98-20479.9)+(9720-5221.74)+109872.29</f>
        <v>288306.63</v>
      </c>
      <c r="AR217" s="10"/>
      <c r="AS217" s="10"/>
      <c r="AT217" s="163">
        <f t="shared" si="57"/>
        <v>617094.12</v>
      </c>
      <c r="AU217" s="2"/>
      <c r="AV217" s="2"/>
      <c r="AW217" s="168">
        <v>4128</v>
      </c>
      <c r="AX217" s="21">
        <f t="shared" si="52"/>
        <v>-498370.708</v>
      </c>
      <c r="AY217" s="26">
        <v>140586.23</v>
      </c>
    </row>
    <row r="218" spans="1:51" ht="15.75">
      <c r="A218" s="1">
        <v>210</v>
      </c>
      <c r="B218" s="1" t="s">
        <v>218</v>
      </c>
      <c r="C218" s="1">
        <v>1137.1</v>
      </c>
      <c r="D218" s="1">
        <v>158.6</v>
      </c>
      <c r="E218" s="1">
        <f t="shared" si="56"/>
        <v>1295.6999999999998</v>
      </c>
      <c r="F218" s="2">
        <v>13</v>
      </c>
      <c r="G218" s="2">
        <f t="shared" si="45"/>
        <v>16844.1</v>
      </c>
      <c r="H218" s="2">
        <f t="shared" si="47"/>
        <v>101064.59999999999</v>
      </c>
      <c r="I218" s="2">
        <f t="shared" si="58"/>
        <v>13</v>
      </c>
      <c r="J218" s="2">
        <f t="shared" si="55"/>
        <v>16844.1</v>
      </c>
      <c r="K218" s="2">
        <f t="shared" si="48"/>
        <v>101064.59999999999</v>
      </c>
      <c r="L218" s="13">
        <f t="shared" si="53"/>
        <v>202129.19999999998</v>
      </c>
      <c r="M218" s="139">
        <v>-91663.17</v>
      </c>
      <c r="N218" s="34">
        <f t="shared" si="54"/>
        <v>110466.02999999998</v>
      </c>
      <c r="O218" s="152">
        <v>0</v>
      </c>
      <c r="P218" s="152">
        <v>46074.55</v>
      </c>
      <c r="Q218" s="1">
        <v>0</v>
      </c>
      <c r="R218" s="1">
        <v>-6671.59</v>
      </c>
      <c r="S218" s="1">
        <v>0</v>
      </c>
      <c r="T218" s="1">
        <v>3803.51</v>
      </c>
      <c r="U218" s="33">
        <v>0</v>
      </c>
      <c r="V218" s="33">
        <v>-30049.58</v>
      </c>
      <c r="W218" s="1">
        <v>0</v>
      </c>
      <c r="X218" s="1">
        <v>7843.02</v>
      </c>
      <c r="Y218" s="1">
        <v>0</v>
      </c>
      <c r="Z218" s="1">
        <v>6268.14</v>
      </c>
      <c r="AA218" s="33">
        <v>0</v>
      </c>
      <c r="AB218" s="33">
        <v>3328.41</v>
      </c>
      <c r="AC218" s="33">
        <v>0</v>
      </c>
      <c r="AD218" s="33">
        <v>78673.29</v>
      </c>
      <c r="AE218" s="33">
        <v>0</v>
      </c>
      <c r="AF218" s="33">
        <v>10340.99</v>
      </c>
      <c r="AG218" s="1">
        <v>0</v>
      </c>
      <c r="AH218" s="1">
        <v>7111.02</v>
      </c>
      <c r="AI218" s="1">
        <v>0</v>
      </c>
      <c r="AJ218" s="1">
        <v>6809.91</v>
      </c>
      <c r="AK218" s="1">
        <v>0</v>
      </c>
      <c r="AL218" s="1">
        <v>4437.23</v>
      </c>
      <c r="AM218" s="9">
        <f t="shared" si="49"/>
        <v>0</v>
      </c>
      <c r="AN218" s="9">
        <f t="shared" si="50"/>
        <v>137968.90000000002</v>
      </c>
      <c r="AO218" s="248">
        <f t="shared" si="51"/>
        <v>137968.90000000002</v>
      </c>
      <c r="AP218" s="10"/>
      <c r="AQ218" s="10">
        <v>6261</v>
      </c>
      <c r="AR218" s="10"/>
      <c r="AS218" s="10"/>
      <c r="AT218" s="163">
        <f t="shared" si="57"/>
        <v>144229.90000000002</v>
      </c>
      <c r="AU218" s="2"/>
      <c r="AV218" s="2"/>
      <c r="AW218" s="168"/>
      <c r="AX218" s="21">
        <f t="shared" si="52"/>
        <v>-33763.87000000004</v>
      </c>
      <c r="AY218" s="26">
        <v>170443.43</v>
      </c>
    </row>
    <row r="219" spans="1:51" ht="15.75">
      <c r="A219" s="1">
        <v>211</v>
      </c>
      <c r="B219" s="1" t="s">
        <v>219</v>
      </c>
      <c r="C219" s="1">
        <v>1340.1</v>
      </c>
      <c r="D219" s="1">
        <v>460.4</v>
      </c>
      <c r="E219" s="1">
        <f t="shared" si="56"/>
        <v>1800.5</v>
      </c>
      <c r="F219" s="2">
        <v>9.86</v>
      </c>
      <c r="G219" s="2">
        <f t="shared" si="45"/>
        <v>17752.93</v>
      </c>
      <c r="H219" s="2">
        <f t="shared" si="47"/>
        <v>106517.58</v>
      </c>
      <c r="I219" s="2">
        <f t="shared" si="58"/>
        <v>9.86</v>
      </c>
      <c r="J219" s="2">
        <f t="shared" si="55"/>
        <v>17752.93</v>
      </c>
      <c r="K219" s="2">
        <f t="shared" si="48"/>
        <v>106517.58</v>
      </c>
      <c r="L219" s="13">
        <f t="shared" si="53"/>
        <v>213035.16</v>
      </c>
      <c r="M219" s="139">
        <v>-315190.95</v>
      </c>
      <c r="N219" s="34">
        <f t="shared" si="54"/>
        <v>-102155.79000000001</v>
      </c>
      <c r="O219" s="152">
        <v>0</v>
      </c>
      <c r="P219" s="152">
        <v>51687.29</v>
      </c>
      <c r="Q219" s="1">
        <v>0</v>
      </c>
      <c r="R219" s="1">
        <v>12288.55</v>
      </c>
      <c r="S219" s="1">
        <v>0</v>
      </c>
      <c r="T219" s="1">
        <v>33229.06</v>
      </c>
      <c r="U219" s="33">
        <v>0</v>
      </c>
      <c r="V219" s="33">
        <v>12799.84</v>
      </c>
      <c r="W219" s="1">
        <v>0</v>
      </c>
      <c r="X219" s="1">
        <v>4857.29</v>
      </c>
      <c r="Y219" s="1">
        <v>0</v>
      </c>
      <c r="Z219" s="1">
        <v>4857.29</v>
      </c>
      <c r="AA219" s="33">
        <v>0</v>
      </c>
      <c r="AB219" s="33">
        <v>4857.29</v>
      </c>
      <c r="AC219" s="33">
        <v>0</v>
      </c>
      <c r="AD219" s="33">
        <v>7837.36</v>
      </c>
      <c r="AE219" s="33">
        <v>0</v>
      </c>
      <c r="AF219" s="33">
        <v>6159.29</v>
      </c>
      <c r="AG219" s="1">
        <v>0</v>
      </c>
      <c r="AH219" s="1">
        <v>6554.58</v>
      </c>
      <c r="AI219" s="1">
        <v>0</v>
      </c>
      <c r="AJ219" s="1">
        <v>4857.29</v>
      </c>
      <c r="AK219" s="1">
        <v>0</v>
      </c>
      <c r="AL219" s="1">
        <v>17557.11</v>
      </c>
      <c r="AM219" s="9">
        <f t="shared" si="49"/>
        <v>0</v>
      </c>
      <c r="AN219" s="9">
        <f t="shared" si="50"/>
        <v>167542.24</v>
      </c>
      <c r="AO219" s="248">
        <f t="shared" si="51"/>
        <v>167542.24</v>
      </c>
      <c r="AP219" s="10"/>
      <c r="AQ219" s="10">
        <v>7389</v>
      </c>
      <c r="AR219" s="10"/>
      <c r="AS219" s="10"/>
      <c r="AT219" s="163">
        <f t="shared" si="57"/>
        <v>174931.24</v>
      </c>
      <c r="AU219" s="2"/>
      <c r="AV219" s="2"/>
      <c r="AW219" s="168">
        <v>4128</v>
      </c>
      <c r="AX219" s="21">
        <f t="shared" si="52"/>
        <v>-272959.03</v>
      </c>
      <c r="AY219" s="26">
        <v>27864.42</v>
      </c>
    </row>
    <row r="220" spans="1:51" ht="15.75">
      <c r="A220" s="1">
        <v>212</v>
      </c>
      <c r="B220" s="1" t="s">
        <v>220</v>
      </c>
      <c r="C220" s="1">
        <v>1296.5</v>
      </c>
      <c r="D220" s="1">
        <v>0</v>
      </c>
      <c r="E220" s="1">
        <f t="shared" si="56"/>
        <v>1296.5</v>
      </c>
      <c r="F220" s="2">
        <v>13.92</v>
      </c>
      <c r="G220" s="2">
        <f t="shared" si="45"/>
        <v>18047.28</v>
      </c>
      <c r="H220" s="2">
        <f t="shared" si="47"/>
        <v>108283.68</v>
      </c>
      <c r="I220" s="2">
        <f t="shared" si="58"/>
        <v>13.92</v>
      </c>
      <c r="J220" s="2">
        <f t="shared" si="55"/>
        <v>18047.28</v>
      </c>
      <c r="K220" s="2">
        <f t="shared" si="48"/>
        <v>108283.68</v>
      </c>
      <c r="L220" s="13">
        <f t="shared" si="53"/>
        <v>216567.36</v>
      </c>
      <c r="M220" s="139">
        <v>-35389.68</v>
      </c>
      <c r="N220" s="34">
        <f t="shared" si="54"/>
        <v>181177.68</v>
      </c>
      <c r="O220" s="152">
        <v>0</v>
      </c>
      <c r="P220" s="152">
        <v>9538.52</v>
      </c>
      <c r="Q220" s="1">
        <v>0</v>
      </c>
      <c r="R220" s="1">
        <v>7087.76</v>
      </c>
      <c r="S220" s="1">
        <v>0</v>
      </c>
      <c r="T220" s="1">
        <v>32194.96</v>
      </c>
      <c r="U220" s="33">
        <v>0</v>
      </c>
      <c r="V220" s="33">
        <v>6926.06</v>
      </c>
      <c r="W220" s="1">
        <v>0</v>
      </c>
      <c r="X220" s="1">
        <v>15648.9</v>
      </c>
      <c r="Y220" s="1">
        <v>0</v>
      </c>
      <c r="Z220" s="1">
        <v>9019.61</v>
      </c>
      <c r="AA220" s="33">
        <v>0</v>
      </c>
      <c r="AB220" s="33">
        <v>11854.77</v>
      </c>
      <c r="AC220" s="33">
        <v>0</v>
      </c>
      <c r="AD220" s="33">
        <v>8112.5</v>
      </c>
      <c r="AE220" s="33">
        <v>0</v>
      </c>
      <c r="AF220" s="33">
        <v>7748.95</v>
      </c>
      <c r="AG220" s="1">
        <v>0</v>
      </c>
      <c r="AH220" s="1">
        <v>6926.47</v>
      </c>
      <c r="AI220" s="1">
        <v>0</v>
      </c>
      <c r="AJ220" s="1">
        <v>23945.71</v>
      </c>
      <c r="AK220" s="1">
        <v>0</v>
      </c>
      <c r="AL220" s="1">
        <v>53212.81</v>
      </c>
      <c r="AM220" s="9">
        <f t="shared" si="49"/>
        <v>0</v>
      </c>
      <c r="AN220" s="9">
        <f t="shared" si="50"/>
        <v>192217.02</v>
      </c>
      <c r="AO220" s="248">
        <f t="shared" si="51"/>
        <v>192217.02</v>
      </c>
      <c r="AP220" s="10"/>
      <c r="AQ220" s="10">
        <v>8350</v>
      </c>
      <c r="AR220" s="10"/>
      <c r="AS220" s="10"/>
      <c r="AT220" s="163">
        <f t="shared" si="57"/>
        <v>200567.02</v>
      </c>
      <c r="AU220" s="2"/>
      <c r="AV220" s="2"/>
      <c r="AW220" s="168">
        <v>2408</v>
      </c>
      <c r="AX220" s="21">
        <f t="shared" si="52"/>
        <v>-16981.339999999997</v>
      </c>
      <c r="AY220" s="26">
        <v>17987.55</v>
      </c>
    </row>
    <row r="221" spans="1:51" ht="15.75">
      <c r="A221" s="1">
        <v>213</v>
      </c>
      <c r="B221" s="1" t="s">
        <v>221</v>
      </c>
      <c r="C221" s="1">
        <v>1277.6</v>
      </c>
      <c r="D221" s="1">
        <v>482.6</v>
      </c>
      <c r="E221" s="1">
        <f t="shared" si="56"/>
        <v>1760.1999999999998</v>
      </c>
      <c r="F221" s="2">
        <v>13.3</v>
      </c>
      <c r="G221" s="2">
        <f t="shared" si="45"/>
        <v>23410.66</v>
      </c>
      <c r="H221" s="2">
        <f t="shared" si="47"/>
        <v>140463.96</v>
      </c>
      <c r="I221" s="2">
        <f t="shared" si="58"/>
        <v>13.3</v>
      </c>
      <c r="J221" s="2">
        <f t="shared" si="55"/>
        <v>23410.66</v>
      </c>
      <c r="K221" s="2">
        <f t="shared" si="48"/>
        <v>140463.96</v>
      </c>
      <c r="L221" s="13">
        <f t="shared" si="53"/>
        <v>280927.92</v>
      </c>
      <c r="M221" s="139"/>
      <c r="N221" s="34">
        <f t="shared" si="54"/>
        <v>280927.92</v>
      </c>
      <c r="O221" s="152">
        <v>0</v>
      </c>
      <c r="P221" s="152">
        <v>19961.48</v>
      </c>
      <c r="Q221" s="1">
        <v>0</v>
      </c>
      <c r="R221" s="1">
        <v>4753.71</v>
      </c>
      <c r="S221" s="1">
        <v>0</v>
      </c>
      <c r="T221" s="1">
        <v>41675.12</v>
      </c>
      <c r="U221" s="33">
        <v>0</v>
      </c>
      <c r="V221" s="33">
        <v>8174.56</v>
      </c>
      <c r="W221" s="1">
        <v>0</v>
      </c>
      <c r="X221" s="1">
        <v>9372.8</v>
      </c>
      <c r="Y221" s="1">
        <v>0</v>
      </c>
      <c r="Z221" s="1">
        <v>4753.71</v>
      </c>
      <c r="AA221" s="33">
        <v>0</v>
      </c>
      <c r="AB221" s="33">
        <v>25876.95</v>
      </c>
      <c r="AC221" s="33">
        <v>0</v>
      </c>
      <c r="AD221" s="33">
        <v>69275.59</v>
      </c>
      <c r="AE221" s="33">
        <v>0</v>
      </c>
      <c r="AF221" s="33">
        <v>44572.62</v>
      </c>
      <c r="AG221" s="1">
        <v>0</v>
      </c>
      <c r="AH221" s="1">
        <v>5914.12</v>
      </c>
      <c r="AI221" s="1">
        <v>0</v>
      </c>
      <c r="AJ221" s="1">
        <v>5992.23</v>
      </c>
      <c r="AK221" s="1">
        <v>0</v>
      </c>
      <c r="AL221" s="1">
        <v>9329.37</v>
      </c>
      <c r="AM221" s="9">
        <f t="shared" si="49"/>
        <v>0</v>
      </c>
      <c r="AN221" s="9">
        <f t="shared" si="50"/>
        <v>249652.25999999998</v>
      </c>
      <c r="AO221" s="248">
        <f t="shared" si="51"/>
        <v>249652.25999999998</v>
      </c>
      <c r="AP221" s="10"/>
      <c r="AQ221" s="10"/>
      <c r="AR221" s="10"/>
      <c r="AS221" s="10"/>
      <c r="AT221" s="163">
        <f t="shared" si="57"/>
        <v>249652.25999999998</v>
      </c>
      <c r="AU221" s="2"/>
      <c r="AV221" s="2"/>
      <c r="AW221" s="168"/>
      <c r="AX221" s="21">
        <f t="shared" si="52"/>
        <v>31275.660000000003</v>
      </c>
      <c r="AY221" s="26">
        <v>64999.44</v>
      </c>
    </row>
    <row r="222" spans="1:51" ht="15.75">
      <c r="A222" s="1">
        <v>214</v>
      </c>
      <c r="B222" s="1" t="s">
        <v>222</v>
      </c>
      <c r="C222" s="1">
        <v>1135.5</v>
      </c>
      <c r="D222" s="1">
        <v>158</v>
      </c>
      <c r="E222" s="1">
        <f t="shared" si="56"/>
        <v>1293.5</v>
      </c>
      <c r="F222" s="2">
        <v>13.6</v>
      </c>
      <c r="G222" s="2">
        <f t="shared" si="45"/>
        <v>17591.6</v>
      </c>
      <c r="H222" s="2">
        <f t="shared" si="47"/>
        <v>105549.59999999999</v>
      </c>
      <c r="I222" s="2">
        <f t="shared" si="58"/>
        <v>13.6</v>
      </c>
      <c r="J222" s="2">
        <f t="shared" si="55"/>
        <v>17591.6</v>
      </c>
      <c r="K222" s="2">
        <f t="shared" si="48"/>
        <v>105549.59999999999</v>
      </c>
      <c r="L222" s="13">
        <f t="shared" si="53"/>
        <v>211099.19999999998</v>
      </c>
      <c r="M222" s="139">
        <v>-55659.78</v>
      </c>
      <c r="N222" s="34">
        <f t="shared" si="54"/>
        <v>155439.41999999998</v>
      </c>
      <c r="O222" s="152">
        <v>0</v>
      </c>
      <c r="P222" s="152">
        <v>3554.3</v>
      </c>
      <c r="Q222" s="1">
        <v>0</v>
      </c>
      <c r="R222" s="1">
        <v>30485.03</v>
      </c>
      <c r="S222" s="1">
        <v>0</v>
      </c>
      <c r="T222" s="1">
        <v>16854.12</v>
      </c>
      <c r="U222" s="33">
        <v>0</v>
      </c>
      <c r="V222" s="33">
        <v>8088.97</v>
      </c>
      <c r="W222" s="1">
        <v>0</v>
      </c>
      <c r="X222" s="1">
        <v>11562.27</v>
      </c>
      <c r="Y222" s="1">
        <v>0</v>
      </c>
      <c r="Z222" s="1">
        <v>5184.96</v>
      </c>
      <c r="AA222" s="33">
        <v>0</v>
      </c>
      <c r="AB222" s="33">
        <v>3554.3</v>
      </c>
      <c r="AC222" s="33">
        <v>0</v>
      </c>
      <c r="AD222" s="33">
        <v>15886.62</v>
      </c>
      <c r="AE222" s="33">
        <v>0</v>
      </c>
      <c r="AF222" s="33">
        <v>4723.3</v>
      </c>
      <c r="AG222" s="1">
        <v>0</v>
      </c>
      <c r="AH222" s="1">
        <v>4714.71</v>
      </c>
      <c r="AI222" s="1">
        <v>0</v>
      </c>
      <c r="AJ222" s="1">
        <v>10154.3</v>
      </c>
      <c r="AK222" s="1">
        <v>0</v>
      </c>
      <c r="AL222" s="1">
        <v>6399.12</v>
      </c>
      <c r="AM222" s="9">
        <f t="shared" si="49"/>
        <v>0</v>
      </c>
      <c r="AN222" s="9">
        <f t="shared" si="50"/>
        <v>121162.00000000001</v>
      </c>
      <c r="AO222" s="248">
        <f t="shared" si="51"/>
        <v>121162.00000000001</v>
      </c>
      <c r="AP222" s="10"/>
      <c r="AQ222" s="10">
        <f>318468.68-11039.06</f>
        <v>307429.62</v>
      </c>
      <c r="AR222" s="10"/>
      <c r="AS222" s="10"/>
      <c r="AT222" s="163">
        <f t="shared" si="57"/>
        <v>428591.62</v>
      </c>
      <c r="AU222" s="2"/>
      <c r="AV222" s="2"/>
      <c r="AW222" s="168">
        <v>4128</v>
      </c>
      <c r="AX222" s="21">
        <f t="shared" si="52"/>
        <v>-269024.2</v>
      </c>
      <c r="AY222" s="26">
        <v>70881.53</v>
      </c>
    </row>
    <row r="223" spans="1:51" ht="15.75">
      <c r="A223" s="1">
        <v>215</v>
      </c>
      <c r="B223" s="1" t="s">
        <v>223</v>
      </c>
      <c r="C223" s="1">
        <v>1239.1</v>
      </c>
      <c r="D223" s="1">
        <v>153</v>
      </c>
      <c r="E223" s="1">
        <f t="shared" si="56"/>
        <v>1392.1</v>
      </c>
      <c r="F223" s="2">
        <v>13</v>
      </c>
      <c r="G223" s="2">
        <f t="shared" si="45"/>
        <v>18097.3</v>
      </c>
      <c r="H223" s="2">
        <f t="shared" si="47"/>
        <v>108583.79999999999</v>
      </c>
      <c r="I223" s="2">
        <f t="shared" si="58"/>
        <v>13</v>
      </c>
      <c r="J223" s="2">
        <f t="shared" si="55"/>
        <v>18097.3</v>
      </c>
      <c r="K223" s="2">
        <f t="shared" si="48"/>
        <v>108583.79999999999</v>
      </c>
      <c r="L223" s="13">
        <f t="shared" si="53"/>
        <v>217167.59999999998</v>
      </c>
      <c r="M223" s="139">
        <v>-76982.92</v>
      </c>
      <c r="N223" s="34">
        <f t="shared" si="54"/>
        <v>140184.68</v>
      </c>
      <c r="O223" s="152">
        <v>0</v>
      </c>
      <c r="P223" s="152">
        <v>8217.25</v>
      </c>
      <c r="Q223" s="1">
        <v>0</v>
      </c>
      <c r="R223" s="1">
        <v>6862.48</v>
      </c>
      <c r="S223" s="1">
        <v>0</v>
      </c>
      <c r="T223" s="1">
        <v>29927.67</v>
      </c>
      <c r="U223" s="33">
        <v>0</v>
      </c>
      <c r="V223" s="33">
        <v>10123.5</v>
      </c>
      <c r="W223" s="1">
        <v>0</v>
      </c>
      <c r="X223" s="1">
        <v>3807.7</v>
      </c>
      <c r="Y223" s="1">
        <v>0</v>
      </c>
      <c r="Z223" s="1">
        <v>4257.7</v>
      </c>
      <c r="AA223" s="33">
        <v>0</v>
      </c>
      <c r="AB223" s="33">
        <v>3807.7</v>
      </c>
      <c r="AC223" s="33">
        <v>0</v>
      </c>
      <c r="AD223" s="33">
        <v>10704.2</v>
      </c>
      <c r="AE223" s="33">
        <v>0</v>
      </c>
      <c r="AF223" s="33">
        <v>11534.02</v>
      </c>
      <c r="AG223" s="1">
        <v>0</v>
      </c>
      <c r="AH223" s="1">
        <v>4968.11</v>
      </c>
      <c r="AI223" s="1">
        <v>0</v>
      </c>
      <c r="AJ223" s="1">
        <v>3807.7</v>
      </c>
      <c r="AK223" s="1">
        <v>0</v>
      </c>
      <c r="AL223" s="1">
        <v>7714.54</v>
      </c>
      <c r="AM223" s="9">
        <f t="shared" si="49"/>
        <v>0</v>
      </c>
      <c r="AN223" s="9">
        <f t="shared" si="50"/>
        <v>105732.56999999998</v>
      </c>
      <c r="AO223" s="248">
        <f t="shared" si="51"/>
        <v>105732.56999999998</v>
      </c>
      <c r="AP223" s="10"/>
      <c r="AQ223" s="10">
        <v>6261</v>
      </c>
      <c r="AR223" s="10"/>
      <c r="AS223" s="10"/>
      <c r="AT223" s="163">
        <f t="shared" si="57"/>
        <v>111993.56999999998</v>
      </c>
      <c r="AU223" s="2"/>
      <c r="AV223" s="2"/>
      <c r="AW223" s="168"/>
      <c r="AX223" s="21">
        <f t="shared" si="52"/>
        <v>28191.110000000015</v>
      </c>
      <c r="AY223" s="26">
        <v>59229.02</v>
      </c>
    </row>
    <row r="224" spans="1:51" ht="15.75">
      <c r="A224" s="1">
        <v>216</v>
      </c>
      <c r="B224" s="1" t="s">
        <v>224</v>
      </c>
      <c r="C224" s="1">
        <v>1955.9</v>
      </c>
      <c r="D224" s="1">
        <v>608.2</v>
      </c>
      <c r="E224" s="1">
        <f t="shared" si="56"/>
        <v>2564.1000000000004</v>
      </c>
      <c r="F224" s="2">
        <v>14.27</v>
      </c>
      <c r="G224" s="2">
        <f t="shared" si="45"/>
        <v>36589.707</v>
      </c>
      <c r="H224" s="2">
        <f t="shared" si="47"/>
        <v>219538.24200000003</v>
      </c>
      <c r="I224" s="2">
        <f t="shared" si="58"/>
        <v>14.27</v>
      </c>
      <c r="J224" s="2">
        <f t="shared" si="55"/>
        <v>36589.707</v>
      </c>
      <c r="K224" s="2">
        <f t="shared" si="48"/>
        <v>219538.24200000003</v>
      </c>
      <c r="L224" s="13">
        <f t="shared" si="53"/>
        <v>439076.48400000005</v>
      </c>
      <c r="M224" s="139"/>
      <c r="N224" s="34">
        <f t="shared" si="54"/>
        <v>439076.48400000005</v>
      </c>
      <c r="O224" s="152">
        <v>50981.08</v>
      </c>
      <c r="P224" s="152">
        <v>6815.37</v>
      </c>
      <c r="Q224" s="1">
        <v>19781.45</v>
      </c>
      <c r="R224" s="1">
        <v>6815.37</v>
      </c>
      <c r="S224" s="1">
        <v>36967.55</v>
      </c>
      <c r="T224" s="1">
        <v>8148.56</v>
      </c>
      <c r="U224" s="33">
        <v>14768.46</v>
      </c>
      <c r="V224" s="33">
        <v>7975.37</v>
      </c>
      <c r="W224" s="1">
        <v>10044.61</v>
      </c>
      <c r="X224" s="1">
        <v>6815.37</v>
      </c>
      <c r="Y224" s="1">
        <v>26550.76</v>
      </c>
      <c r="Z224" s="1">
        <v>7608.93</v>
      </c>
      <c r="AA224" s="33">
        <v>10044.61</v>
      </c>
      <c r="AB224" s="33">
        <v>16192.95</v>
      </c>
      <c r="AC224" s="33">
        <v>51915.85</v>
      </c>
      <c r="AD224" s="33">
        <v>9851.64</v>
      </c>
      <c r="AE224" s="33">
        <v>10044.61</v>
      </c>
      <c r="AF224" s="33">
        <v>6815.37</v>
      </c>
      <c r="AG224" s="1">
        <v>4714.82</v>
      </c>
      <c r="AH224" s="1">
        <v>10034.86</v>
      </c>
      <c r="AI224" s="1">
        <v>4714.82</v>
      </c>
      <c r="AJ224" s="1">
        <v>10300.93</v>
      </c>
      <c r="AK224" s="1">
        <v>4714.82</v>
      </c>
      <c r="AL224" s="1">
        <v>6815.37</v>
      </c>
      <c r="AM224" s="9">
        <f t="shared" si="49"/>
        <v>245243.44000000006</v>
      </c>
      <c r="AN224" s="9">
        <f t="shared" si="50"/>
        <v>104190.09</v>
      </c>
      <c r="AO224" s="248">
        <f t="shared" si="51"/>
        <v>349433.53</v>
      </c>
      <c r="AP224" s="10"/>
      <c r="AQ224" s="10"/>
      <c r="AR224" s="10"/>
      <c r="AS224" s="10"/>
      <c r="AT224" s="163">
        <f t="shared" si="57"/>
        <v>349433.53</v>
      </c>
      <c r="AU224" s="2"/>
      <c r="AV224" s="2"/>
      <c r="AW224" s="168">
        <v>4128</v>
      </c>
      <c r="AX224" s="21">
        <f t="shared" si="52"/>
        <v>93770.95400000003</v>
      </c>
      <c r="AY224" s="26">
        <v>65300.16</v>
      </c>
    </row>
    <row r="225" spans="1:51" ht="15.75">
      <c r="A225" s="1">
        <v>217</v>
      </c>
      <c r="B225" s="1" t="s">
        <v>225</v>
      </c>
      <c r="C225" s="1">
        <v>1840.3</v>
      </c>
      <c r="D225" s="1">
        <v>82.7</v>
      </c>
      <c r="E225" s="1">
        <f t="shared" si="56"/>
        <v>1923</v>
      </c>
      <c r="F225" s="2">
        <v>14.36</v>
      </c>
      <c r="G225" s="2">
        <f t="shared" si="45"/>
        <v>27614.28</v>
      </c>
      <c r="H225" s="2">
        <f t="shared" si="47"/>
        <v>165685.68</v>
      </c>
      <c r="I225" s="2">
        <f t="shared" si="58"/>
        <v>14.36</v>
      </c>
      <c r="J225" s="2">
        <f t="shared" si="55"/>
        <v>27614.28</v>
      </c>
      <c r="K225" s="2">
        <f t="shared" si="48"/>
        <v>165685.68</v>
      </c>
      <c r="L225" s="13">
        <f t="shared" si="53"/>
        <v>331371.36</v>
      </c>
      <c r="M225" s="139"/>
      <c r="N225" s="34">
        <f t="shared" si="54"/>
        <v>331371.36</v>
      </c>
      <c r="O225" s="152">
        <v>0</v>
      </c>
      <c r="P225" s="152">
        <v>19896.39</v>
      </c>
      <c r="Q225" s="1">
        <v>0</v>
      </c>
      <c r="R225" s="1">
        <v>8606.58</v>
      </c>
      <c r="S225" s="1">
        <v>0</v>
      </c>
      <c r="T225" s="1">
        <v>19773.89</v>
      </c>
      <c r="U225" s="33">
        <v>0</v>
      </c>
      <c r="V225" s="33">
        <v>9849.27</v>
      </c>
      <c r="W225" s="1">
        <v>0</v>
      </c>
      <c r="X225" s="1">
        <v>11502.97</v>
      </c>
      <c r="Y225" s="1">
        <v>0</v>
      </c>
      <c r="Z225" s="1">
        <v>31336.66</v>
      </c>
      <c r="AA225" s="33">
        <v>0</v>
      </c>
      <c r="AB225" s="33">
        <v>11248.79</v>
      </c>
      <c r="AC225" s="33">
        <v>0</v>
      </c>
      <c r="AD225" s="33">
        <v>104074.73</v>
      </c>
      <c r="AE225" s="33">
        <v>0</v>
      </c>
      <c r="AF225" s="33">
        <v>11248.79</v>
      </c>
      <c r="AG225" s="1">
        <v>0</v>
      </c>
      <c r="AH225" s="1">
        <v>25442.54</v>
      </c>
      <c r="AI225" s="1">
        <v>0</v>
      </c>
      <c r="AJ225" s="1">
        <v>10734.82</v>
      </c>
      <c r="AK225" s="1">
        <v>0</v>
      </c>
      <c r="AL225" s="1">
        <v>70843.95</v>
      </c>
      <c r="AM225" s="9">
        <f t="shared" si="49"/>
        <v>0</v>
      </c>
      <c r="AN225" s="9">
        <f t="shared" si="50"/>
        <v>334559.38000000006</v>
      </c>
      <c r="AO225" s="248">
        <f t="shared" si="51"/>
        <v>334559.38000000006</v>
      </c>
      <c r="AP225" s="10"/>
      <c r="AQ225" s="10"/>
      <c r="AR225" s="10"/>
      <c r="AS225" s="10"/>
      <c r="AT225" s="163">
        <f t="shared" si="57"/>
        <v>334559.38000000006</v>
      </c>
      <c r="AU225" s="2"/>
      <c r="AV225" s="2"/>
      <c r="AW225" s="168">
        <v>4128</v>
      </c>
      <c r="AX225" s="21">
        <f t="shared" si="52"/>
        <v>939.9799999999232</v>
      </c>
      <c r="AY225" s="26">
        <v>89077.35</v>
      </c>
    </row>
    <row r="226" spans="1:51" ht="15.75">
      <c r="A226" s="1">
        <v>218</v>
      </c>
      <c r="B226" s="1" t="s">
        <v>226</v>
      </c>
      <c r="C226" s="1">
        <v>1372.6</v>
      </c>
      <c r="D226" s="1">
        <v>487.8</v>
      </c>
      <c r="E226" s="1">
        <f t="shared" si="56"/>
        <v>1860.3999999999999</v>
      </c>
      <c r="F226" s="2">
        <v>13</v>
      </c>
      <c r="G226" s="2">
        <f t="shared" si="45"/>
        <v>24185.199999999997</v>
      </c>
      <c r="H226" s="2">
        <f t="shared" si="47"/>
        <v>145111.19999999998</v>
      </c>
      <c r="I226" s="2">
        <f t="shared" si="58"/>
        <v>13</v>
      </c>
      <c r="J226" s="2">
        <f t="shared" si="55"/>
        <v>24185.199999999997</v>
      </c>
      <c r="K226" s="169">
        <f>J226*6</f>
        <v>145111.19999999998</v>
      </c>
      <c r="L226" s="13">
        <f t="shared" si="53"/>
        <v>290222.39999999997</v>
      </c>
      <c r="M226" s="139">
        <v>-7137.88</v>
      </c>
      <c r="N226" s="34">
        <f t="shared" si="54"/>
        <v>283084.51999999996</v>
      </c>
      <c r="O226" s="152">
        <v>0</v>
      </c>
      <c r="P226" s="152">
        <v>111445.75</v>
      </c>
      <c r="Q226" s="1">
        <v>0</v>
      </c>
      <c r="R226" s="1">
        <v>11232.96</v>
      </c>
      <c r="S226" s="1">
        <v>0</v>
      </c>
      <c r="T226" s="1">
        <v>15550.46</v>
      </c>
      <c r="U226" s="33">
        <v>0</v>
      </c>
      <c r="V226" s="33">
        <v>9338.18</v>
      </c>
      <c r="W226" s="1">
        <v>0</v>
      </c>
      <c r="X226" s="1">
        <v>44290.66</v>
      </c>
      <c r="Y226" s="1">
        <v>0</v>
      </c>
      <c r="Z226" s="1">
        <v>12017.82</v>
      </c>
      <c r="AA226" s="33">
        <v>0</v>
      </c>
      <c r="AB226" s="33">
        <v>10895.82</v>
      </c>
      <c r="AC226" s="33">
        <v>0</v>
      </c>
      <c r="AD226" s="33">
        <v>23012.13</v>
      </c>
      <c r="AE226" s="33">
        <v>0</v>
      </c>
      <c r="AF226" s="33">
        <v>12780.74</v>
      </c>
      <c r="AG226" s="1">
        <v>0</v>
      </c>
      <c r="AH226" s="1">
        <v>9338.59</v>
      </c>
      <c r="AI226" s="1">
        <v>0</v>
      </c>
      <c r="AJ226" s="1">
        <v>8178.18</v>
      </c>
      <c r="AK226" s="1">
        <v>0</v>
      </c>
      <c r="AL226" s="1">
        <v>8178.18</v>
      </c>
      <c r="AM226" s="9">
        <f t="shared" si="49"/>
        <v>0</v>
      </c>
      <c r="AN226" s="9">
        <f t="shared" si="50"/>
        <v>276259.47</v>
      </c>
      <c r="AO226" s="248">
        <f t="shared" si="51"/>
        <v>276259.47</v>
      </c>
      <c r="AP226" s="10"/>
      <c r="AQ226" s="10"/>
      <c r="AR226" s="10"/>
      <c r="AS226" s="10"/>
      <c r="AT226" s="163">
        <f t="shared" si="57"/>
        <v>276259.47</v>
      </c>
      <c r="AU226" s="2"/>
      <c r="AV226" s="2"/>
      <c r="AW226" s="168"/>
      <c r="AX226" s="21">
        <f t="shared" si="52"/>
        <v>6825.049999999988</v>
      </c>
      <c r="AY226" s="26">
        <v>38402.57</v>
      </c>
    </row>
    <row r="227" spans="1:51" ht="15.75">
      <c r="A227" s="1">
        <v>219</v>
      </c>
      <c r="B227" s="1" t="s">
        <v>227</v>
      </c>
      <c r="C227" s="1">
        <v>2050.6</v>
      </c>
      <c r="D227" s="1">
        <v>489.5</v>
      </c>
      <c r="E227" s="1">
        <f t="shared" si="56"/>
        <v>2540.1</v>
      </c>
      <c r="F227" s="2">
        <v>13.97</v>
      </c>
      <c r="G227" s="2">
        <f t="shared" si="45"/>
        <v>35485.197</v>
      </c>
      <c r="H227" s="2">
        <f t="shared" si="47"/>
        <v>212911.182</v>
      </c>
      <c r="I227" s="2">
        <f t="shared" si="58"/>
        <v>13.97</v>
      </c>
      <c r="J227" s="2">
        <f t="shared" si="55"/>
        <v>35485.197</v>
      </c>
      <c r="K227" s="2">
        <f t="shared" si="48"/>
        <v>212911.182</v>
      </c>
      <c r="L227" s="13">
        <f t="shared" si="53"/>
        <v>425822.364</v>
      </c>
      <c r="M227" s="139">
        <v>-396122.33</v>
      </c>
      <c r="N227" s="34">
        <f t="shared" si="54"/>
        <v>29700.033999999985</v>
      </c>
      <c r="O227" s="152">
        <v>0</v>
      </c>
      <c r="P227" s="152">
        <v>47297.02</v>
      </c>
      <c r="Q227" s="1">
        <v>0</v>
      </c>
      <c r="R227" s="1">
        <v>96682.3</v>
      </c>
      <c r="S227" s="1">
        <v>0</v>
      </c>
      <c r="T227" s="1">
        <v>31552.97</v>
      </c>
      <c r="U227" s="33">
        <v>0</v>
      </c>
      <c r="V227" s="33">
        <v>13576.54</v>
      </c>
      <c r="W227" s="1">
        <v>0</v>
      </c>
      <c r="X227" s="1">
        <v>10559.47</v>
      </c>
      <c r="Y227" s="1">
        <v>0</v>
      </c>
      <c r="Z227" s="1">
        <v>120758.06</v>
      </c>
      <c r="AA227" s="33">
        <v>0</v>
      </c>
      <c r="AB227" s="33">
        <v>424811.65</v>
      </c>
      <c r="AC227" s="33">
        <v>0</v>
      </c>
      <c r="AD227" s="33">
        <v>203092.87</v>
      </c>
      <c r="AE227" s="33">
        <v>0</v>
      </c>
      <c r="AF227" s="33">
        <v>19355.85</v>
      </c>
      <c r="AG227" s="1">
        <v>0</v>
      </c>
      <c r="AH227" s="1">
        <v>76811.31</v>
      </c>
      <c r="AI227" s="1">
        <v>0</v>
      </c>
      <c r="AJ227" s="1">
        <v>55914.11</v>
      </c>
      <c r="AK227" s="1">
        <v>0</v>
      </c>
      <c r="AL227" s="1">
        <v>47480.62</v>
      </c>
      <c r="AM227" s="9">
        <f t="shared" si="49"/>
        <v>0</v>
      </c>
      <c r="AN227" s="9">
        <f t="shared" si="50"/>
        <v>1147892.7700000003</v>
      </c>
      <c r="AO227" s="248">
        <f t="shared" si="51"/>
        <v>1147892.7700000003</v>
      </c>
      <c r="AP227" s="10"/>
      <c r="AQ227" s="10"/>
      <c r="AR227" s="10"/>
      <c r="AS227" s="10"/>
      <c r="AT227" s="163">
        <f t="shared" si="57"/>
        <v>1147892.7700000003</v>
      </c>
      <c r="AU227" s="2"/>
      <c r="AV227" s="2"/>
      <c r="AW227" s="168">
        <v>8740</v>
      </c>
      <c r="AX227" s="21">
        <f t="shared" si="52"/>
        <v>-1109452.7360000003</v>
      </c>
      <c r="AY227" s="26">
        <v>282711.21</v>
      </c>
    </row>
    <row r="228" spans="1:51" ht="15.75">
      <c r="A228" s="1">
        <v>220</v>
      </c>
      <c r="B228" s="1" t="s">
        <v>228</v>
      </c>
      <c r="C228" s="1">
        <v>1638.03</v>
      </c>
      <c r="D228" s="1">
        <v>171.3</v>
      </c>
      <c r="E228" s="1">
        <f t="shared" si="56"/>
        <v>1809.33</v>
      </c>
      <c r="F228" s="2">
        <v>14.32</v>
      </c>
      <c r="G228" s="2">
        <f t="shared" si="45"/>
        <v>25909.6056</v>
      </c>
      <c r="H228" s="2">
        <f t="shared" si="47"/>
        <v>155457.6336</v>
      </c>
      <c r="I228" s="2">
        <f t="shared" si="58"/>
        <v>14.32</v>
      </c>
      <c r="J228" s="2">
        <f t="shared" si="55"/>
        <v>25909.6056</v>
      </c>
      <c r="K228" s="2">
        <f t="shared" si="48"/>
        <v>155457.6336</v>
      </c>
      <c r="L228" s="13">
        <f t="shared" si="53"/>
        <v>310915.2672</v>
      </c>
      <c r="M228" s="139">
        <v>-168824.75</v>
      </c>
      <c r="N228" s="34">
        <f t="shared" si="54"/>
        <v>142090.5172</v>
      </c>
      <c r="O228" s="152">
        <v>0</v>
      </c>
      <c r="P228" s="152">
        <v>7751.68</v>
      </c>
      <c r="Q228" s="1">
        <v>0</v>
      </c>
      <c r="R228" s="1">
        <v>4879.98</v>
      </c>
      <c r="S228" s="1">
        <v>0</v>
      </c>
      <c r="T228" s="1">
        <v>6387.98</v>
      </c>
      <c r="U228" s="33">
        <v>0</v>
      </c>
      <c r="V228" s="33">
        <v>26014.74</v>
      </c>
      <c r="W228" s="1">
        <v>0</v>
      </c>
      <c r="X228" s="1">
        <v>7147.74</v>
      </c>
      <c r="Y228" s="1">
        <v>0</v>
      </c>
      <c r="Z228" s="1">
        <v>8730.39</v>
      </c>
      <c r="AA228" s="33">
        <v>0</v>
      </c>
      <c r="AB228" s="33">
        <v>4879.98</v>
      </c>
      <c r="AC228" s="33">
        <v>0</v>
      </c>
      <c r="AD228" s="33">
        <v>10972.16</v>
      </c>
      <c r="AE228" s="33">
        <v>0</v>
      </c>
      <c r="AF228" s="33">
        <v>8559.85</v>
      </c>
      <c r="AG228" s="1">
        <v>0</v>
      </c>
      <c r="AH228" s="1">
        <v>6040.39</v>
      </c>
      <c r="AI228" s="1">
        <v>0</v>
      </c>
      <c r="AJ228" s="1">
        <v>4879.98</v>
      </c>
      <c r="AK228" s="1">
        <v>0</v>
      </c>
      <c r="AL228" s="1">
        <v>17864.74</v>
      </c>
      <c r="AM228" s="9">
        <f t="shared" si="49"/>
        <v>0</v>
      </c>
      <c r="AN228" s="9">
        <f t="shared" si="50"/>
        <v>114109.61000000002</v>
      </c>
      <c r="AO228" s="248">
        <f t="shared" si="51"/>
        <v>114109.61000000002</v>
      </c>
      <c r="AP228" s="10"/>
      <c r="AQ228" s="10">
        <v>8052</v>
      </c>
      <c r="AR228" s="10"/>
      <c r="AS228" s="10"/>
      <c r="AT228" s="163">
        <f t="shared" si="57"/>
        <v>122161.61000000002</v>
      </c>
      <c r="AU228" s="2"/>
      <c r="AV228" s="2"/>
      <c r="AW228" s="168">
        <v>2408</v>
      </c>
      <c r="AX228" s="21">
        <f t="shared" si="52"/>
        <v>22336.907199999987</v>
      </c>
      <c r="AY228" s="26">
        <v>303689.83</v>
      </c>
    </row>
    <row r="229" spans="1:51" ht="15.75">
      <c r="A229" s="1">
        <v>221</v>
      </c>
      <c r="B229" s="1" t="s">
        <v>229</v>
      </c>
      <c r="C229" s="1">
        <v>1567.3</v>
      </c>
      <c r="D229" s="1">
        <v>250.2</v>
      </c>
      <c r="E229" s="1">
        <f t="shared" si="56"/>
        <v>1817.5</v>
      </c>
      <c r="F229" s="2">
        <v>14.32</v>
      </c>
      <c r="G229" s="2">
        <f t="shared" si="45"/>
        <v>26026.600000000002</v>
      </c>
      <c r="H229" s="2">
        <f t="shared" si="47"/>
        <v>156159.6</v>
      </c>
      <c r="I229" s="2">
        <f t="shared" si="58"/>
        <v>14.32</v>
      </c>
      <c r="J229" s="2">
        <f t="shared" si="55"/>
        <v>26026.600000000002</v>
      </c>
      <c r="K229" s="2">
        <f t="shared" si="48"/>
        <v>156159.6</v>
      </c>
      <c r="L229" s="13">
        <f t="shared" si="53"/>
        <v>312319.2</v>
      </c>
      <c r="M229" s="139"/>
      <c r="N229" s="34">
        <f t="shared" si="54"/>
        <v>312319.2</v>
      </c>
      <c r="O229" s="152">
        <v>0</v>
      </c>
      <c r="P229" s="152">
        <v>110564.62</v>
      </c>
      <c r="Q229" s="1">
        <v>0</v>
      </c>
      <c r="R229" s="1">
        <v>8245.18</v>
      </c>
      <c r="S229" s="1">
        <v>0</v>
      </c>
      <c r="T229" s="1">
        <v>32415.94</v>
      </c>
      <c r="U229" s="33">
        <v>0</v>
      </c>
      <c r="V229" s="33">
        <v>62554.33</v>
      </c>
      <c r="W229" s="1">
        <v>0</v>
      </c>
      <c r="X229" s="1">
        <v>97396.35</v>
      </c>
      <c r="Y229" s="1">
        <v>0</v>
      </c>
      <c r="Z229" s="1">
        <v>12025.58</v>
      </c>
      <c r="AA229" s="33">
        <v>0</v>
      </c>
      <c r="AB229" s="33">
        <v>19667.83</v>
      </c>
      <c r="AC229" s="33">
        <v>0</v>
      </c>
      <c r="AD229" s="33">
        <v>19330.54</v>
      </c>
      <c r="AE229" s="33">
        <v>0</v>
      </c>
      <c r="AF229" s="33">
        <v>13515.21</v>
      </c>
      <c r="AG229" s="1">
        <v>0</v>
      </c>
      <c r="AH229" s="1">
        <v>37630.75</v>
      </c>
      <c r="AI229" s="1">
        <v>0</v>
      </c>
      <c r="AJ229" s="1">
        <v>13785.83</v>
      </c>
      <c r="AK229" s="1">
        <v>0</v>
      </c>
      <c r="AL229" s="1">
        <v>18536.68</v>
      </c>
      <c r="AM229" s="9">
        <f t="shared" si="49"/>
        <v>0</v>
      </c>
      <c r="AN229" s="9">
        <f t="shared" si="50"/>
        <v>445668.8400000001</v>
      </c>
      <c r="AO229" s="248">
        <f t="shared" si="51"/>
        <v>445668.8400000001</v>
      </c>
      <c r="AP229" s="10"/>
      <c r="AQ229" s="10">
        <f>(244055.82-51266.2)+(337447.34-15192.08)+8052+66334.03</f>
        <v>589430.91</v>
      </c>
      <c r="AR229" s="10"/>
      <c r="AS229" s="10"/>
      <c r="AT229" s="163">
        <f t="shared" si="57"/>
        <v>1035099.7500000001</v>
      </c>
      <c r="AU229" s="2"/>
      <c r="AV229" s="2"/>
      <c r="AW229" s="168">
        <v>4128</v>
      </c>
      <c r="AX229" s="21">
        <f t="shared" si="52"/>
        <v>-718652.55</v>
      </c>
      <c r="AY229" s="26">
        <v>101450.58</v>
      </c>
    </row>
    <row r="230" spans="1:51" ht="15.75">
      <c r="A230" s="1">
        <v>222</v>
      </c>
      <c r="B230" s="1" t="s">
        <v>230</v>
      </c>
      <c r="C230" s="1">
        <v>9195.4</v>
      </c>
      <c r="D230" s="1">
        <v>680.4</v>
      </c>
      <c r="E230" s="1">
        <f t="shared" si="56"/>
        <v>9875.8</v>
      </c>
      <c r="F230" s="2">
        <v>14.97</v>
      </c>
      <c r="G230" s="2">
        <f t="shared" si="45"/>
        <v>147840.726</v>
      </c>
      <c r="H230" s="2">
        <f t="shared" si="47"/>
        <v>887044.3559999999</v>
      </c>
      <c r="I230" s="2">
        <f t="shared" si="58"/>
        <v>14.97</v>
      </c>
      <c r="J230" s="2">
        <f t="shared" si="55"/>
        <v>147840.726</v>
      </c>
      <c r="K230" s="2">
        <f t="shared" si="48"/>
        <v>887044.3559999999</v>
      </c>
      <c r="L230" s="13">
        <f t="shared" si="53"/>
        <v>1774088.7119999998</v>
      </c>
      <c r="M230" s="139"/>
      <c r="N230" s="34">
        <f t="shared" si="54"/>
        <v>1774088.7119999998</v>
      </c>
      <c r="O230" s="152">
        <v>0</v>
      </c>
      <c r="P230" s="152">
        <v>217201.92</v>
      </c>
      <c r="Q230" s="1">
        <v>0</v>
      </c>
      <c r="R230" s="1">
        <v>77118.38</v>
      </c>
      <c r="S230" s="1">
        <v>0</v>
      </c>
      <c r="T230" s="1">
        <v>183859.88</v>
      </c>
      <c r="U230" s="33">
        <v>0</v>
      </c>
      <c r="V230" s="33">
        <v>145954.94</v>
      </c>
      <c r="W230" s="1">
        <v>0</v>
      </c>
      <c r="X230" s="1">
        <v>114487.51</v>
      </c>
      <c r="Y230" s="1">
        <v>0</v>
      </c>
      <c r="Z230" s="1">
        <v>176674.98</v>
      </c>
      <c r="AA230" s="33">
        <v>0</v>
      </c>
      <c r="AB230" s="33">
        <v>138122.65</v>
      </c>
      <c r="AC230" s="33">
        <v>0</v>
      </c>
      <c r="AD230" s="33">
        <v>183653.65</v>
      </c>
      <c r="AE230" s="33">
        <v>0</v>
      </c>
      <c r="AF230" s="33">
        <v>75259.22</v>
      </c>
      <c r="AG230" s="1">
        <v>0</v>
      </c>
      <c r="AH230" s="1">
        <v>62654.33</v>
      </c>
      <c r="AI230" s="1">
        <v>0</v>
      </c>
      <c r="AJ230" s="1">
        <v>64861.39</v>
      </c>
      <c r="AK230" s="1">
        <v>0</v>
      </c>
      <c r="AL230" s="1">
        <v>124744.44</v>
      </c>
      <c r="AM230" s="9">
        <f t="shared" si="49"/>
        <v>0</v>
      </c>
      <c r="AN230" s="9">
        <f t="shared" si="50"/>
        <v>1564593.2899999998</v>
      </c>
      <c r="AO230" s="248">
        <f t="shared" si="51"/>
        <v>1564593.2899999998</v>
      </c>
      <c r="AP230" s="10"/>
      <c r="AQ230" s="10">
        <f>(248711.16-70062.12)</f>
        <v>178649.04</v>
      </c>
      <c r="AR230" s="10"/>
      <c r="AS230" s="10"/>
      <c r="AT230" s="163">
        <f t="shared" si="57"/>
        <v>1743242.3299999998</v>
      </c>
      <c r="AU230" s="2"/>
      <c r="AV230" s="2"/>
      <c r="AW230" s="168">
        <v>4128</v>
      </c>
      <c r="AX230" s="21">
        <f t="shared" si="52"/>
        <v>34974.38199999998</v>
      </c>
      <c r="AY230" s="26">
        <f>675145.05+10244.03</f>
        <v>685389.0800000001</v>
      </c>
    </row>
    <row r="231" spans="1:51" ht="15.75">
      <c r="A231" s="1">
        <v>223</v>
      </c>
      <c r="B231" s="1" t="s">
        <v>231</v>
      </c>
      <c r="C231" s="1">
        <v>5428</v>
      </c>
      <c r="D231" s="1">
        <v>1453.7</v>
      </c>
      <c r="E231" s="1">
        <f t="shared" si="56"/>
        <v>6881.7</v>
      </c>
      <c r="F231" s="2">
        <v>14.32</v>
      </c>
      <c r="G231" s="2">
        <f t="shared" si="45"/>
        <v>98545.944</v>
      </c>
      <c r="H231" s="2">
        <f t="shared" si="47"/>
        <v>591275.664</v>
      </c>
      <c r="I231" s="2">
        <f t="shared" si="58"/>
        <v>14.32</v>
      </c>
      <c r="J231" s="2">
        <f t="shared" si="55"/>
        <v>98545.944</v>
      </c>
      <c r="K231" s="2">
        <f t="shared" si="48"/>
        <v>591275.664</v>
      </c>
      <c r="L231" s="13">
        <f t="shared" si="53"/>
        <v>1182551.328</v>
      </c>
      <c r="M231" s="139"/>
      <c r="N231" s="34">
        <f t="shared" si="54"/>
        <v>1182551.328</v>
      </c>
      <c r="O231" s="152">
        <v>193906.27</v>
      </c>
      <c r="P231" s="152">
        <v>18140.7</v>
      </c>
      <c r="Q231" s="1">
        <v>172216.39</v>
      </c>
      <c r="R231" s="1">
        <v>23324.58</v>
      </c>
      <c r="S231" s="1">
        <v>45668.9</v>
      </c>
      <c r="T231" s="1">
        <v>21306.76</v>
      </c>
      <c r="U231" s="33">
        <v>11695.41</v>
      </c>
      <c r="V231" s="33">
        <v>19300.7</v>
      </c>
      <c r="W231" s="1">
        <v>23751.64</v>
      </c>
      <c r="X231" s="1">
        <v>26971.96</v>
      </c>
      <c r="Y231" s="1">
        <v>31364.48</v>
      </c>
      <c r="Z231" s="1">
        <v>40501.44</v>
      </c>
      <c r="AA231" s="33">
        <v>89356.29</v>
      </c>
      <c r="AB231" s="33">
        <v>18140.7</v>
      </c>
      <c r="AC231" s="33">
        <v>52516.76</v>
      </c>
      <c r="AD231" s="33">
        <v>20493.36</v>
      </c>
      <c r="AE231" s="33">
        <v>26805.25</v>
      </c>
      <c r="AF231" s="33">
        <v>23624.8</v>
      </c>
      <c r="AG231" s="1">
        <v>56072.49</v>
      </c>
      <c r="AH231" s="1">
        <v>30710.89</v>
      </c>
      <c r="AI231" s="1">
        <v>15195.41</v>
      </c>
      <c r="AJ231" s="1">
        <v>21776.43</v>
      </c>
      <c r="AK231" s="1">
        <v>21518.73</v>
      </c>
      <c r="AL231" s="1">
        <v>26125.8</v>
      </c>
      <c r="AM231" s="9">
        <f t="shared" si="49"/>
        <v>740068.02</v>
      </c>
      <c r="AN231" s="9">
        <f t="shared" si="50"/>
        <v>290418.12</v>
      </c>
      <c r="AO231" s="248">
        <f t="shared" si="51"/>
        <v>1030486.14</v>
      </c>
      <c r="AP231" s="10"/>
      <c r="AQ231" s="10">
        <f>(34615-17200.93)+104000+40500+124815.13</f>
        <v>286729.2</v>
      </c>
      <c r="AR231" s="10"/>
      <c r="AS231" s="10"/>
      <c r="AT231" s="163">
        <f t="shared" si="57"/>
        <v>1317215.34</v>
      </c>
      <c r="AU231" s="2"/>
      <c r="AV231" s="2"/>
      <c r="AW231" s="168"/>
      <c r="AX231" s="21">
        <f t="shared" si="52"/>
        <v>-134664.0120000001</v>
      </c>
      <c r="AY231" s="26">
        <v>452137.88</v>
      </c>
    </row>
    <row r="232" spans="1:51" ht="15.75">
      <c r="A232" s="1">
        <v>224</v>
      </c>
      <c r="B232" s="1" t="s">
        <v>232</v>
      </c>
      <c r="C232" s="1">
        <v>2271.8</v>
      </c>
      <c r="D232" s="1">
        <v>517</v>
      </c>
      <c r="E232" s="1">
        <f t="shared" si="56"/>
        <v>2788.8</v>
      </c>
      <c r="F232" s="2">
        <v>13.84</v>
      </c>
      <c r="G232" s="2">
        <f t="shared" si="45"/>
        <v>38596.992000000006</v>
      </c>
      <c r="H232" s="2">
        <f t="shared" si="47"/>
        <v>231581.95200000005</v>
      </c>
      <c r="I232" s="2">
        <f t="shared" si="58"/>
        <v>13.84</v>
      </c>
      <c r="J232" s="2">
        <f t="shared" si="55"/>
        <v>38596.992000000006</v>
      </c>
      <c r="K232" s="2">
        <f t="shared" si="48"/>
        <v>231581.95200000005</v>
      </c>
      <c r="L232" s="13">
        <f t="shared" si="53"/>
        <v>463163.9040000001</v>
      </c>
      <c r="M232" s="139">
        <v>-54726.09</v>
      </c>
      <c r="N232" s="34">
        <f t="shared" si="54"/>
        <v>408437.81400000013</v>
      </c>
      <c r="O232" s="152">
        <v>26181.61</v>
      </c>
      <c r="P232" s="152">
        <v>11974.65</v>
      </c>
      <c r="Q232" s="1">
        <v>9360.53</v>
      </c>
      <c r="R232" s="1">
        <v>20998.4</v>
      </c>
      <c r="S232" s="1">
        <v>53246.47</v>
      </c>
      <c r="T232" s="1">
        <v>20546.67</v>
      </c>
      <c r="U232" s="33">
        <v>13601.39</v>
      </c>
      <c r="V232" s="33">
        <v>17163.83</v>
      </c>
      <c r="W232" s="1">
        <v>14852.1</v>
      </c>
      <c r="X232" s="1">
        <v>17312.95</v>
      </c>
      <c r="Y232" s="1">
        <v>23080.7</v>
      </c>
      <c r="Z232" s="1">
        <v>26433.54</v>
      </c>
      <c r="AA232" s="33">
        <v>16609.68</v>
      </c>
      <c r="AB232" s="33">
        <v>19223.59</v>
      </c>
      <c r="AC232" s="33">
        <v>14852.1</v>
      </c>
      <c r="AD232" s="33">
        <v>23269.86</v>
      </c>
      <c r="AE232" s="33">
        <v>59288.3</v>
      </c>
      <c r="AF232" s="33">
        <v>19364.53</v>
      </c>
      <c r="AG232" s="1">
        <v>15972.49</v>
      </c>
      <c r="AH232" s="1">
        <v>26040.55</v>
      </c>
      <c r="AI232" s="1">
        <v>38112.84</v>
      </c>
      <c r="AJ232" s="1">
        <v>43830.59</v>
      </c>
      <c r="AK232" s="1">
        <v>30201.72</v>
      </c>
      <c r="AL232" s="1">
        <v>13585.25</v>
      </c>
      <c r="AM232" s="9">
        <f t="shared" si="49"/>
        <v>315359.92999999993</v>
      </c>
      <c r="AN232" s="9">
        <f t="shared" si="50"/>
        <v>259744.40999999997</v>
      </c>
      <c r="AO232" s="248">
        <f t="shared" si="51"/>
        <v>575104.3399999999</v>
      </c>
      <c r="AP232" s="10"/>
      <c r="AQ232" s="10"/>
      <c r="AR232" s="10"/>
      <c r="AS232" s="10"/>
      <c r="AT232" s="163">
        <f t="shared" si="57"/>
        <v>575104.3399999999</v>
      </c>
      <c r="AU232" s="2"/>
      <c r="AV232" s="2"/>
      <c r="AW232" s="168"/>
      <c r="AX232" s="21">
        <f t="shared" si="52"/>
        <v>-166666.52599999972</v>
      </c>
      <c r="AY232" s="26">
        <f>1626203.86+165166.89</f>
        <v>1791370.75</v>
      </c>
    </row>
    <row r="233" spans="1:51" ht="15.75">
      <c r="A233" s="1">
        <v>225</v>
      </c>
      <c r="B233" s="1" t="s">
        <v>233</v>
      </c>
      <c r="C233" s="1">
        <v>2548.9</v>
      </c>
      <c r="D233" s="1">
        <v>667.6</v>
      </c>
      <c r="E233" s="1">
        <f t="shared" si="56"/>
        <v>3216.5</v>
      </c>
      <c r="F233" s="2">
        <v>13.74</v>
      </c>
      <c r="G233" s="2">
        <f t="shared" si="45"/>
        <v>44194.71</v>
      </c>
      <c r="H233" s="2">
        <f t="shared" si="47"/>
        <v>265168.26</v>
      </c>
      <c r="I233" s="2">
        <f t="shared" si="58"/>
        <v>13.74</v>
      </c>
      <c r="J233" s="2">
        <f t="shared" si="55"/>
        <v>44194.71</v>
      </c>
      <c r="K233" s="2">
        <f t="shared" si="48"/>
        <v>265168.26</v>
      </c>
      <c r="L233" s="13">
        <f t="shared" si="53"/>
        <v>530336.52</v>
      </c>
      <c r="M233" s="139"/>
      <c r="N233" s="34">
        <f t="shared" si="54"/>
        <v>530336.52</v>
      </c>
      <c r="O233" s="152">
        <v>0</v>
      </c>
      <c r="P233" s="152">
        <v>29314.97</v>
      </c>
      <c r="Q233" s="1">
        <v>0</v>
      </c>
      <c r="R233" s="1">
        <v>54706.47</v>
      </c>
      <c r="S233" s="1">
        <v>0</v>
      </c>
      <c r="T233" s="1">
        <v>18499.34</v>
      </c>
      <c r="U233" s="33">
        <v>0</v>
      </c>
      <c r="V233" s="33">
        <v>23483.13</v>
      </c>
      <c r="W233" s="1">
        <v>0</v>
      </c>
      <c r="X233" s="1">
        <v>47137.21</v>
      </c>
      <c r="Y233" s="1">
        <v>0</v>
      </c>
      <c r="Z233" s="1">
        <v>24860.1</v>
      </c>
      <c r="AA233" s="33">
        <v>0</v>
      </c>
      <c r="AB233" s="33">
        <v>53010.09</v>
      </c>
      <c r="AC233" s="33">
        <v>0</v>
      </c>
      <c r="AD233" s="33">
        <v>30059.05</v>
      </c>
      <c r="AE233" s="33">
        <v>0</v>
      </c>
      <c r="AF233" s="33">
        <v>22383.99</v>
      </c>
      <c r="AG233" s="1">
        <v>0</v>
      </c>
      <c r="AH233" s="1">
        <v>20763.83</v>
      </c>
      <c r="AI233" s="1">
        <v>0</v>
      </c>
      <c r="AJ233" s="1">
        <v>18915.13</v>
      </c>
      <c r="AK233" s="1">
        <v>0</v>
      </c>
      <c r="AL233" s="1">
        <v>19170.45</v>
      </c>
      <c r="AM233" s="9">
        <f t="shared" si="49"/>
        <v>0</v>
      </c>
      <c r="AN233" s="9">
        <f t="shared" si="50"/>
        <v>362303.76</v>
      </c>
      <c r="AO233" s="248">
        <f t="shared" si="51"/>
        <v>362303.76</v>
      </c>
      <c r="AP233" s="10"/>
      <c r="AQ233" s="10">
        <f>(182200.91-156770.22)+19692</f>
        <v>45122.69</v>
      </c>
      <c r="AR233" s="10"/>
      <c r="AS233" s="10"/>
      <c r="AT233" s="163">
        <f t="shared" si="57"/>
        <v>407426.45</v>
      </c>
      <c r="AU233" s="2"/>
      <c r="AV233" s="2"/>
      <c r="AW233" s="168"/>
      <c r="AX233" s="21">
        <f t="shared" si="52"/>
        <v>122910.07</v>
      </c>
      <c r="AY233" s="26">
        <v>331559.1</v>
      </c>
    </row>
    <row r="234" spans="1:51" ht="15.75">
      <c r="A234" s="1">
        <v>226</v>
      </c>
      <c r="B234" s="1" t="s">
        <v>234</v>
      </c>
      <c r="C234" s="1">
        <v>1943.62</v>
      </c>
      <c r="D234" s="1">
        <v>119.4</v>
      </c>
      <c r="E234" s="1">
        <f t="shared" si="56"/>
        <v>2063.02</v>
      </c>
      <c r="F234" s="2">
        <v>14.36</v>
      </c>
      <c r="G234" s="2">
        <f aca="true" t="shared" si="59" ref="G234:G293">E234*F234</f>
        <v>29624.9672</v>
      </c>
      <c r="H234" s="2">
        <f t="shared" si="47"/>
        <v>177749.8032</v>
      </c>
      <c r="I234" s="2">
        <f t="shared" si="58"/>
        <v>14.36</v>
      </c>
      <c r="J234" s="2">
        <f t="shared" si="55"/>
        <v>29624.9672</v>
      </c>
      <c r="K234" s="2">
        <f t="shared" si="48"/>
        <v>177749.8032</v>
      </c>
      <c r="L234" s="13">
        <f t="shared" si="53"/>
        <v>355499.6064</v>
      </c>
      <c r="M234" s="139">
        <v>-73513.98</v>
      </c>
      <c r="N234" s="34">
        <f t="shared" si="54"/>
        <v>281985.6264</v>
      </c>
      <c r="O234" s="152">
        <v>0</v>
      </c>
      <c r="P234" s="152">
        <v>11932.99</v>
      </c>
      <c r="Q234" s="1">
        <v>0</v>
      </c>
      <c r="R234" s="1">
        <v>36058.77</v>
      </c>
      <c r="S234" s="1">
        <v>0</v>
      </c>
      <c r="T234" s="1">
        <v>54460.04</v>
      </c>
      <c r="U234" s="33">
        <v>0</v>
      </c>
      <c r="V234" s="33">
        <v>10529.85</v>
      </c>
      <c r="W234" s="1">
        <v>0</v>
      </c>
      <c r="X234" s="1">
        <v>12051.1</v>
      </c>
      <c r="Y234" s="1">
        <v>0</v>
      </c>
      <c r="Z234" s="1">
        <v>106962.08</v>
      </c>
      <c r="AA234" s="33">
        <v>0</v>
      </c>
      <c r="AB234" s="33">
        <v>20367.14</v>
      </c>
      <c r="AC234" s="33">
        <v>0</v>
      </c>
      <c r="AD234" s="33">
        <v>12051.1</v>
      </c>
      <c r="AE234" s="33">
        <v>0</v>
      </c>
      <c r="AF234" s="33">
        <v>21359.68</v>
      </c>
      <c r="AG234" s="1">
        <v>0</v>
      </c>
      <c r="AH234" s="1">
        <v>28434.74</v>
      </c>
      <c r="AI234" s="1">
        <v>0</v>
      </c>
      <c r="AJ234" s="1">
        <v>187446.29</v>
      </c>
      <c r="AK234" s="1">
        <v>0</v>
      </c>
      <c r="AL234" s="1">
        <v>93662.03</v>
      </c>
      <c r="AM234" s="9">
        <f t="shared" si="49"/>
        <v>0</v>
      </c>
      <c r="AN234" s="9">
        <f t="shared" si="50"/>
        <v>595315.81</v>
      </c>
      <c r="AO234" s="248">
        <f t="shared" si="51"/>
        <v>595315.81</v>
      </c>
      <c r="AP234" s="10"/>
      <c r="AQ234" s="10">
        <v>16275</v>
      </c>
      <c r="AR234" s="10"/>
      <c r="AS234" s="10"/>
      <c r="AT234" s="163">
        <f t="shared" si="57"/>
        <v>611590.81</v>
      </c>
      <c r="AU234" s="2"/>
      <c r="AV234" s="2"/>
      <c r="AW234" s="168">
        <v>4128</v>
      </c>
      <c r="AX234" s="21">
        <f t="shared" si="52"/>
        <v>-325477.18360000005</v>
      </c>
      <c r="AY234" s="26">
        <v>150668.62</v>
      </c>
    </row>
    <row r="235" spans="1:51" ht="15.75">
      <c r="A235" s="1">
        <v>227</v>
      </c>
      <c r="B235" s="1" t="s">
        <v>235</v>
      </c>
      <c r="C235" s="1">
        <v>2957.8</v>
      </c>
      <c r="D235" s="1">
        <v>473.7</v>
      </c>
      <c r="E235" s="1">
        <f t="shared" si="56"/>
        <v>3431.5</v>
      </c>
      <c r="F235" s="2">
        <v>13.97</v>
      </c>
      <c r="G235" s="2">
        <f t="shared" si="59"/>
        <v>47938.055</v>
      </c>
      <c r="H235" s="2">
        <f t="shared" si="47"/>
        <v>287628.33</v>
      </c>
      <c r="I235" s="2">
        <f t="shared" si="58"/>
        <v>13.97</v>
      </c>
      <c r="J235" s="2">
        <f t="shared" si="55"/>
        <v>47938.055</v>
      </c>
      <c r="K235" s="2">
        <f t="shared" si="48"/>
        <v>287628.33</v>
      </c>
      <c r="L235" s="13">
        <f t="shared" si="53"/>
        <v>575256.66</v>
      </c>
      <c r="M235" s="139"/>
      <c r="N235" s="34">
        <f t="shared" si="54"/>
        <v>575256.66</v>
      </c>
      <c r="O235" s="152">
        <v>5833.55</v>
      </c>
      <c r="P235" s="152">
        <v>10382.15</v>
      </c>
      <c r="Q235" s="1">
        <v>5833.55</v>
      </c>
      <c r="R235" s="1">
        <v>10382.15</v>
      </c>
      <c r="S235" s="1">
        <v>28388.4</v>
      </c>
      <c r="T235" s="1">
        <v>10175.2</v>
      </c>
      <c r="U235" s="33">
        <v>11424.9</v>
      </c>
      <c r="V235" s="33">
        <v>13679.41</v>
      </c>
      <c r="W235" s="1">
        <v>28117.5</v>
      </c>
      <c r="X235" s="1">
        <v>9048.96</v>
      </c>
      <c r="Y235" s="1">
        <v>24298.82</v>
      </c>
      <c r="Z235" s="1">
        <v>25464.93</v>
      </c>
      <c r="AA235" s="33">
        <v>42375.25</v>
      </c>
      <c r="AB235" s="33">
        <v>32520.08</v>
      </c>
      <c r="AC235" s="33">
        <v>15611.66</v>
      </c>
      <c r="AD235" s="33">
        <v>15940.5</v>
      </c>
      <c r="AE235" s="33">
        <v>10843.54</v>
      </c>
      <c r="AF235" s="33">
        <v>9048.96</v>
      </c>
      <c r="AG235" s="1">
        <v>10689.63</v>
      </c>
      <c r="AH235" s="1">
        <v>10209.37</v>
      </c>
      <c r="AI235" s="1">
        <v>7767.15</v>
      </c>
      <c r="AJ235" s="1">
        <v>10367.74</v>
      </c>
      <c r="AK235" s="1">
        <v>10698.37</v>
      </c>
      <c r="AL235" s="1">
        <v>9048.96</v>
      </c>
      <c r="AM235" s="9">
        <f t="shared" si="49"/>
        <v>201882.32</v>
      </c>
      <c r="AN235" s="9">
        <f t="shared" si="50"/>
        <v>166268.40999999997</v>
      </c>
      <c r="AO235" s="248">
        <f t="shared" si="51"/>
        <v>368150.73</v>
      </c>
      <c r="AP235" s="10"/>
      <c r="AQ235" s="10">
        <f>(19900-19829.14)+132914.41</f>
        <v>132985.27000000002</v>
      </c>
      <c r="AR235" s="10"/>
      <c r="AS235" s="10"/>
      <c r="AT235" s="163">
        <f t="shared" si="57"/>
        <v>501136</v>
      </c>
      <c r="AU235" s="2"/>
      <c r="AV235" s="2"/>
      <c r="AW235" s="168">
        <v>4128</v>
      </c>
      <c r="AX235" s="21">
        <f t="shared" si="52"/>
        <v>78248.66000000003</v>
      </c>
      <c r="AY235" s="26">
        <v>160239.04</v>
      </c>
    </row>
    <row r="236" spans="1:51" ht="15.75">
      <c r="A236" s="1">
        <v>228</v>
      </c>
      <c r="B236" s="1" t="s">
        <v>236</v>
      </c>
      <c r="C236" s="1">
        <v>2642</v>
      </c>
      <c r="D236" s="1">
        <v>535.4</v>
      </c>
      <c r="E236" s="1">
        <f t="shared" si="56"/>
        <v>3177.4</v>
      </c>
      <c r="F236" s="2">
        <v>14.36</v>
      </c>
      <c r="G236" s="2">
        <f t="shared" si="59"/>
        <v>45627.464</v>
      </c>
      <c r="H236" s="2">
        <f t="shared" si="47"/>
        <v>273764.784</v>
      </c>
      <c r="I236" s="2">
        <f t="shared" si="58"/>
        <v>14.36</v>
      </c>
      <c r="J236" s="2">
        <f t="shared" si="55"/>
        <v>45627.464</v>
      </c>
      <c r="K236" s="2">
        <f t="shared" si="48"/>
        <v>273764.784</v>
      </c>
      <c r="L236" s="13">
        <f t="shared" si="53"/>
        <v>547529.568</v>
      </c>
      <c r="M236" s="139"/>
      <c r="N236" s="34">
        <f t="shared" si="54"/>
        <v>547529.568</v>
      </c>
      <c r="O236" s="152">
        <v>0</v>
      </c>
      <c r="P236" s="152">
        <v>71420.35</v>
      </c>
      <c r="Q236" s="1">
        <v>0</v>
      </c>
      <c r="R236" s="1">
        <v>14604.88</v>
      </c>
      <c r="S236" s="1">
        <v>0</v>
      </c>
      <c r="T236" s="1">
        <v>50219.06</v>
      </c>
      <c r="U236" s="33">
        <v>0</v>
      </c>
      <c r="V236" s="33">
        <v>15179.92</v>
      </c>
      <c r="W236" s="1">
        <v>0</v>
      </c>
      <c r="X236" s="1">
        <v>20851.33</v>
      </c>
      <c r="Y236" s="1">
        <v>0</v>
      </c>
      <c r="Z236" s="1">
        <v>73649.7</v>
      </c>
      <c r="AA236" s="33">
        <v>0</v>
      </c>
      <c r="AB236" s="33">
        <v>66985.19</v>
      </c>
      <c r="AC236" s="33">
        <v>0</v>
      </c>
      <c r="AD236" s="33">
        <v>33319.54</v>
      </c>
      <c r="AE236" s="33">
        <v>0</v>
      </c>
      <c r="AF236" s="33">
        <v>106357.68</v>
      </c>
      <c r="AG236" s="1">
        <v>0</v>
      </c>
      <c r="AH236" s="1">
        <v>16774.94</v>
      </c>
      <c r="AI236" s="1">
        <v>0</v>
      </c>
      <c r="AJ236" s="1">
        <v>15248.23</v>
      </c>
      <c r="AK236" s="1">
        <v>0</v>
      </c>
      <c r="AL236" s="1">
        <v>24056.84</v>
      </c>
      <c r="AM236" s="9">
        <f t="shared" si="49"/>
        <v>0</v>
      </c>
      <c r="AN236" s="9">
        <f t="shared" si="50"/>
        <v>508667.66000000003</v>
      </c>
      <c r="AO236" s="248">
        <f t="shared" si="51"/>
        <v>508667.66000000003</v>
      </c>
      <c r="AP236" s="10"/>
      <c r="AQ236" s="10">
        <f>(106715.82-20606.63)+9324+22975</f>
        <v>118408.19</v>
      </c>
      <c r="AR236" s="10"/>
      <c r="AS236" s="10"/>
      <c r="AT236" s="163">
        <f t="shared" si="57"/>
        <v>627075.8500000001</v>
      </c>
      <c r="AU236" s="2"/>
      <c r="AV236" s="2"/>
      <c r="AW236" s="168">
        <v>2408</v>
      </c>
      <c r="AX236" s="21">
        <f t="shared" si="52"/>
        <v>-77138.28200000012</v>
      </c>
      <c r="AY236" s="26">
        <v>187419.11</v>
      </c>
    </row>
    <row r="237" spans="1:51" ht="15.75">
      <c r="A237" s="1">
        <v>229</v>
      </c>
      <c r="B237" s="1" t="s">
        <v>237</v>
      </c>
      <c r="C237" s="1">
        <v>3832.39</v>
      </c>
      <c r="D237" s="1">
        <v>671.7</v>
      </c>
      <c r="E237" s="1">
        <f t="shared" si="56"/>
        <v>4504.09</v>
      </c>
      <c r="F237" s="2">
        <v>14.36</v>
      </c>
      <c r="G237" s="2">
        <f t="shared" si="59"/>
        <v>64678.7324</v>
      </c>
      <c r="H237" s="2">
        <f t="shared" si="47"/>
        <v>388072.3944</v>
      </c>
      <c r="I237" s="2">
        <f t="shared" si="58"/>
        <v>14.36</v>
      </c>
      <c r="J237" s="2">
        <f t="shared" si="55"/>
        <v>64678.7324</v>
      </c>
      <c r="K237" s="2">
        <f t="shared" si="48"/>
        <v>388072.3944</v>
      </c>
      <c r="L237" s="13">
        <f t="shared" si="53"/>
        <v>776144.7888</v>
      </c>
      <c r="M237" s="139"/>
      <c r="N237" s="34">
        <f t="shared" si="54"/>
        <v>776144.7888</v>
      </c>
      <c r="O237" s="152">
        <v>9168.88</v>
      </c>
      <c r="P237" s="152">
        <v>17039.13</v>
      </c>
      <c r="Q237" s="1">
        <v>30654.2</v>
      </c>
      <c r="R237" s="1">
        <v>19194.15</v>
      </c>
      <c r="S237" s="1">
        <v>173323.79</v>
      </c>
      <c r="T237" s="1">
        <v>18722.03</v>
      </c>
      <c r="U237" s="33">
        <v>17067.42</v>
      </c>
      <c r="V237" s="33">
        <v>12968.6</v>
      </c>
      <c r="W237" s="1">
        <v>17660.74</v>
      </c>
      <c r="X237" s="1">
        <v>11808.6</v>
      </c>
      <c r="Y237" s="1">
        <v>50617.39</v>
      </c>
      <c r="Z237" s="1">
        <v>11808.6</v>
      </c>
      <c r="AA237" s="33">
        <v>26215.6</v>
      </c>
      <c r="AB237" s="33">
        <v>11808.6</v>
      </c>
      <c r="AC237" s="33">
        <v>35284.26</v>
      </c>
      <c r="AD237" s="33">
        <v>24893.3</v>
      </c>
      <c r="AE237" s="33">
        <v>40737.03</v>
      </c>
      <c r="AF237" s="33">
        <v>29958.59</v>
      </c>
      <c r="AG237" s="1">
        <v>61522.8</v>
      </c>
      <c r="AH237" s="1">
        <v>15284.25</v>
      </c>
      <c r="AI237" s="1">
        <v>22225.63</v>
      </c>
      <c r="AJ237" s="1">
        <v>11808.6</v>
      </c>
      <c r="AK237" s="1">
        <v>12927.38</v>
      </c>
      <c r="AL237" s="1">
        <v>11808.6</v>
      </c>
      <c r="AM237" s="9">
        <f t="shared" si="49"/>
        <v>497405.11999999994</v>
      </c>
      <c r="AN237" s="9">
        <f t="shared" si="50"/>
        <v>197103.05000000005</v>
      </c>
      <c r="AO237" s="248">
        <f t="shared" si="51"/>
        <v>694508.1699999999</v>
      </c>
      <c r="AP237" s="10"/>
      <c r="AQ237" s="10">
        <f>(198990.78-19812.92-2088.38)+109149.21+(69889.07-11319.34)</f>
        <v>344808.42000000004</v>
      </c>
      <c r="AR237" s="10"/>
      <c r="AS237" s="10"/>
      <c r="AT237" s="163">
        <f t="shared" si="57"/>
        <v>1039316.59</v>
      </c>
      <c r="AU237" s="2"/>
      <c r="AV237" s="2"/>
      <c r="AW237" s="168">
        <v>4128</v>
      </c>
      <c r="AX237" s="21">
        <f t="shared" si="52"/>
        <v>-259043.8012</v>
      </c>
      <c r="AY237" s="26">
        <v>204341.05</v>
      </c>
    </row>
    <row r="238" spans="1:51" ht="15.75">
      <c r="A238" s="1">
        <v>230</v>
      </c>
      <c r="B238" s="1" t="s">
        <v>238</v>
      </c>
      <c r="C238" s="1">
        <v>4469.6</v>
      </c>
      <c r="D238" s="1">
        <v>46.8</v>
      </c>
      <c r="E238" s="1">
        <f t="shared" si="56"/>
        <v>4516.400000000001</v>
      </c>
      <c r="F238" s="2">
        <v>14.36</v>
      </c>
      <c r="G238" s="2">
        <f t="shared" si="59"/>
        <v>64855.50400000001</v>
      </c>
      <c r="H238" s="2">
        <f t="shared" si="47"/>
        <v>389133.02400000003</v>
      </c>
      <c r="I238" s="2">
        <f t="shared" si="58"/>
        <v>14.36</v>
      </c>
      <c r="J238" s="2">
        <f t="shared" si="55"/>
        <v>64855.50400000001</v>
      </c>
      <c r="K238" s="2">
        <f t="shared" si="48"/>
        <v>389133.02400000003</v>
      </c>
      <c r="L238" s="13">
        <f t="shared" si="53"/>
        <v>778266.0480000001</v>
      </c>
      <c r="M238" s="139"/>
      <c r="N238" s="34">
        <f t="shared" si="54"/>
        <v>778266.0480000001</v>
      </c>
      <c r="O238" s="152">
        <v>9826.01</v>
      </c>
      <c r="P238" s="152">
        <v>22386.81</v>
      </c>
      <c r="Q238" s="1">
        <v>75800.69</v>
      </c>
      <c r="R238" s="1">
        <v>18220.11</v>
      </c>
      <c r="S238" s="1">
        <v>9295.73</v>
      </c>
      <c r="T238" s="1">
        <v>12067.15</v>
      </c>
      <c r="U238" s="33">
        <v>8310.18</v>
      </c>
      <c r="V238" s="33">
        <v>20514.18</v>
      </c>
      <c r="W238" s="1">
        <v>22039.78</v>
      </c>
      <c r="X238" s="1">
        <v>12067.15</v>
      </c>
      <c r="Y238" s="1">
        <v>51209.96</v>
      </c>
      <c r="Z238" s="1">
        <v>21752.25</v>
      </c>
      <c r="AA238" s="33">
        <v>27072.05</v>
      </c>
      <c r="AB238" s="33">
        <v>12777.28</v>
      </c>
      <c r="AC238" s="33">
        <v>43054.29</v>
      </c>
      <c r="AD238" s="33">
        <v>24273.45</v>
      </c>
      <c r="AE238" s="33">
        <v>24742.79</v>
      </c>
      <c r="AF238" s="33">
        <v>32089.95</v>
      </c>
      <c r="AG238" s="1">
        <v>9217.28</v>
      </c>
      <c r="AH238" s="1">
        <v>26859.26</v>
      </c>
      <c r="AI238" s="1">
        <v>11026.74</v>
      </c>
      <c r="AJ238" s="1">
        <v>14314.19</v>
      </c>
      <c r="AK238" s="1">
        <v>11730.08</v>
      </c>
      <c r="AL238" s="1">
        <v>21150.94</v>
      </c>
      <c r="AM238" s="9">
        <f t="shared" si="49"/>
        <v>303325.58</v>
      </c>
      <c r="AN238" s="9">
        <f t="shared" si="50"/>
        <v>238472.72000000003</v>
      </c>
      <c r="AO238" s="248">
        <f t="shared" si="51"/>
        <v>541798.3</v>
      </c>
      <c r="AP238" s="10"/>
      <c r="AQ238" s="10">
        <f>(219990.39-49771.47)+113091.13</f>
        <v>283310.05000000005</v>
      </c>
      <c r="AR238" s="10"/>
      <c r="AS238" s="10"/>
      <c r="AT238" s="163">
        <f t="shared" si="57"/>
        <v>825108.3500000001</v>
      </c>
      <c r="AU238" s="2"/>
      <c r="AV238" s="2"/>
      <c r="AW238" s="168"/>
      <c r="AX238" s="21">
        <f t="shared" si="52"/>
        <v>-46842.302000000025</v>
      </c>
      <c r="AY238" s="26">
        <v>223539.14</v>
      </c>
    </row>
    <row r="239" spans="1:51" ht="15.75">
      <c r="A239" s="1">
        <v>231</v>
      </c>
      <c r="B239" s="1" t="s">
        <v>239</v>
      </c>
      <c r="C239" s="1">
        <v>4587.8</v>
      </c>
      <c r="D239" s="1">
        <v>252.3</v>
      </c>
      <c r="E239" s="1">
        <f t="shared" si="56"/>
        <v>4840.1</v>
      </c>
      <c r="F239" s="2">
        <v>14.32</v>
      </c>
      <c r="G239" s="2">
        <f t="shared" si="59"/>
        <v>69310.232</v>
      </c>
      <c r="H239" s="2">
        <f t="shared" si="47"/>
        <v>415861.392</v>
      </c>
      <c r="I239" s="2">
        <f t="shared" si="58"/>
        <v>14.32</v>
      </c>
      <c r="J239" s="2">
        <f t="shared" si="55"/>
        <v>69310.232</v>
      </c>
      <c r="K239" s="2">
        <f t="shared" si="48"/>
        <v>415861.392</v>
      </c>
      <c r="L239" s="13">
        <f t="shared" si="53"/>
        <v>831722.784</v>
      </c>
      <c r="M239" s="139"/>
      <c r="N239" s="34">
        <f t="shared" si="54"/>
        <v>831722.784</v>
      </c>
      <c r="O239" s="152">
        <v>19069.66</v>
      </c>
      <c r="P239" s="152">
        <v>14386.29</v>
      </c>
      <c r="Q239" s="1">
        <v>65491.4</v>
      </c>
      <c r="R239" s="1">
        <v>12897.26</v>
      </c>
      <c r="S239" s="1">
        <v>12983.33</v>
      </c>
      <c r="T239" s="1">
        <v>12897.26</v>
      </c>
      <c r="U239" s="33">
        <v>40839.55</v>
      </c>
      <c r="V239" s="33">
        <v>14057.26</v>
      </c>
      <c r="W239" s="1">
        <v>24089.87</v>
      </c>
      <c r="X239" s="1">
        <v>12897.26</v>
      </c>
      <c r="Y239" s="1">
        <v>105782.32</v>
      </c>
      <c r="Z239" s="1">
        <v>12897.26</v>
      </c>
      <c r="AA239" s="33">
        <v>26068.5</v>
      </c>
      <c r="AB239" s="33">
        <v>12897.26</v>
      </c>
      <c r="AC239" s="33">
        <v>24480.33</v>
      </c>
      <c r="AD239" s="33">
        <v>19788.8</v>
      </c>
      <c r="AE239" s="33">
        <v>51290</v>
      </c>
      <c r="AF239" s="33">
        <v>17670.28</v>
      </c>
      <c r="AG239" s="1">
        <v>9358.05</v>
      </c>
      <c r="AH239" s="1">
        <v>21548.91</v>
      </c>
      <c r="AI239" s="1">
        <v>12290.7</v>
      </c>
      <c r="AJ239" s="1">
        <v>12897.26</v>
      </c>
      <c r="AK239" s="1">
        <v>26618.69</v>
      </c>
      <c r="AL239" s="1">
        <v>12897.26</v>
      </c>
      <c r="AM239" s="9">
        <f t="shared" si="49"/>
        <v>418362.4</v>
      </c>
      <c r="AN239" s="9">
        <f t="shared" si="50"/>
        <v>177732.36000000002</v>
      </c>
      <c r="AO239" s="248">
        <f t="shared" si="51"/>
        <v>596094.76</v>
      </c>
      <c r="AP239" s="10"/>
      <c r="AQ239" s="10"/>
      <c r="AR239" s="10"/>
      <c r="AS239" s="10"/>
      <c r="AT239" s="163">
        <f t="shared" si="57"/>
        <v>596094.76</v>
      </c>
      <c r="AU239" s="2"/>
      <c r="AV239" s="2"/>
      <c r="AW239" s="168">
        <v>4128</v>
      </c>
      <c r="AX239" s="21">
        <f t="shared" si="52"/>
        <v>239756.02399999998</v>
      </c>
      <c r="AY239" s="26">
        <v>187680.17</v>
      </c>
    </row>
    <row r="240" spans="1:51" ht="15.75">
      <c r="A240" s="1">
        <v>232</v>
      </c>
      <c r="B240" s="1" t="s">
        <v>240</v>
      </c>
      <c r="C240" s="1">
        <v>3740.7</v>
      </c>
      <c r="D240" s="1">
        <v>0</v>
      </c>
      <c r="E240" s="1">
        <f t="shared" si="56"/>
        <v>3740.7</v>
      </c>
      <c r="F240" s="2">
        <v>14.97</v>
      </c>
      <c r="G240" s="2">
        <f t="shared" si="59"/>
        <v>55998.279</v>
      </c>
      <c r="H240" s="2">
        <f t="shared" si="47"/>
        <v>335989.674</v>
      </c>
      <c r="I240" s="2">
        <f t="shared" si="58"/>
        <v>14.97</v>
      </c>
      <c r="J240" s="2">
        <f t="shared" si="55"/>
        <v>55998.279</v>
      </c>
      <c r="K240" s="2">
        <f t="shared" si="48"/>
        <v>335989.674</v>
      </c>
      <c r="L240" s="13">
        <f t="shared" si="53"/>
        <v>671979.348</v>
      </c>
      <c r="M240" s="139">
        <v>-395391.51</v>
      </c>
      <c r="N240" s="34">
        <f t="shared" si="54"/>
        <v>276587.838</v>
      </c>
      <c r="O240" s="152">
        <v>8564.3</v>
      </c>
      <c r="P240" s="152">
        <v>58849.5</v>
      </c>
      <c r="Q240" s="1">
        <v>10438.57</v>
      </c>
      <c r="R240" s="1">
        <v>25577.7</v>
      </c>
      <c r="S240" s="1">
        <v>78882.72</v>
      </c>
      <c r="T240" s="1">
        <v>12327.35</v>
      </c>
      <c r="U240" s="33">
        <v>30631.06</v>
      </c>
      <c r="V240" s="33">
        <v>28920.3</v>
      </c>
      <c r="W240" s="1">
        <v>11822.19</v>
      </c>
      <c r="X240" s="1">
        <v>39327.37</v>
      </c>
      <c r="Y240" s="1">
        <v>75489.05</v>
      </c>
      <c r="Z240" s="1">
        <v>51781.24</v>
      </c>
      <c r="AA240" s="33">
        <v>52445.39</v>
      </c>
      <c r="AB240" s="33">
        <v>10669.68</v>
      </c>
      <c r="AC240" s="33">
        <v>50317.31</v>
      </c>
      <c r="AD240" s="33">
        <v>28130.68</v>
      </c>
      <c r="AE240" s="33">
        <v>30891.19</v>
      </c>
      <c r="AF240" s="33">
        <v>21844.04</v>
      </c>
      <c r="AG240" s="1">
        <v>39633.59</v>
      </c>
      <c r="AH240" s="1">
        <v>21526.57</v>
      </c>
      <c r="AI240" s="1">
        <v>19565.17</v>
      </c>
      <c r="AJ240" s="1">
        <v>11815.32</v>
      </c>
      <c r="AK240" s="1">
        <v>13520.81</v>
      </c>
      <c r="AL240" s="1">
        <v>37344.31</v>
      </c>
      <c r="AM240" s="9">
        <f t="shared" si="49"/>
        <v>422201.35</v>
      </c>
      <c r="AN240" s="9">
        <f t="shared" si="50"/>
        <v>348114.06</v>
      </c>
      <c r="AO240" s="248">
        <f t="shared" si="51"/>
        <v>770315.4099999999</v>
      </c>
      <c r="AP240" s="10">
        <v>1830</v>
      </c>
      <c r="AQ240" s="10">
        <f>259008.9+11796</f>
        <v>270804.9</v>
      </c>
      <c r="AR240" s="10"/>
      <c r="AS240" s="10"/>
      <c r="AT240" s="163">
        <f t="shared" si="57"/>
        <v>1042950.3099999999</v>
      </c>
      <c r="AU240" s="2"/>
      <c r="AV240" s="2"/>
      <c r="AW240" s="168"/>
      <c r="AX240" s="21">
        <f t="shared" si="52"/>
        <v>-766362.472</v>
      </c>
      <c r="AY240" s="26">
        <v>167346.96</v>
      </c>
    </row>
    <row r="241" spans="1:51" ht="15.75">
      <c r="A241" s="1">
        <v>233</v>
      </c>
      <c r="B241" s="1" t="s">
        <v>241</v>
      </c>
      <c r="C241" s="1">
        <v>4572</v>
      </c>
      <c r="D241" s="1">
        <v>324.8</v>
      </c>
      <c r="E241" s="1">
        <f t="shared" si="56"/>
        <v>4896.8</v>
      </c>
      <c r="F241" s="2">
        <v>14.32</v>
      </c>
      <c r="G241" s="2">
        <f t="shared" si="59"/>
        <v>70122.176</v>
      </c>
      <c r="H241" s="2">
        <f t="shared" si="47"/>
        <v>420733.05600000004</v>
      </c>
      <c r="I241" s="2">
        <f t="shared" si="58"/>
        <v>14.32</v>
      </c>
      <c r="J241" s="2">
        <f t="shared" si="55"/>
        <v>70122.176</v>
      </c>
      <c r="K241" s="2">
        <f t="shared" si="48"/>
        <v>420733.05600000004</v>
      </c>
      <c r="L241" s="13">
        <f t="shared" si="53"/>
        <v>841466.1120000001</v>
      </c>
      <c r="M241" s="139"/>
      <c r="N241" s="34">
        <f t="shared" si="54"/>
        <v>841466.1120000001</v>
      </c>
      <c r="O241" s="152">
        <v>25146.07</v>
      </c>
      <c r="P241" s="152">
        <v>16072.29</v>
      </c>
      <c r="Q241" s="1">
        <v>9009.19</v>
      </c>
      <c r="R241" s="1">
        <v>24103.68</v>
      </c>
      <c r="S241" s="1">
        <v>11270.05</v>
      </c>
      <c r="T241" s="1">
        <v>14252.95</v>
      </c>
      <c r="U241" s="33">
        <v>36159.92</v>
      </c>
      <c r="V241" s="33">
        <v>37617.82</v>
      </c>
      <c r="W241" s="1">
        <v>22108.31</v>
      </c>
      <c r="X241" s="1">
        <v>15615.44</v>
      </c>
      <c r="Y241" s="1">
        <v>19193.5</v>
      </c>
      <c r="Z241" s="1">
        <v>12583.49</v>
      </c>
      <c r="AA241" s="33">
        <v>19193.5</v>
      </c>
      <c r="AB241" s="33">
        <v>33558.3</v>
      </c>
      <c r="AC241" s="33">
        <v>19193.5</v>
      </c>
      <c r="AD241" s="33">
        <v>21147.52</v>
      </c>
      <c r="AE241" s="33">
        <v>-11783.82</v>
      </c>
      <c r="AF241" s="33">
        <v>14302.38</v>
      </c>
      <c r="AG241" s="1">
        <v>9009.19</v>
      </c>
      <c r="AH241" s="1">
        <v>13743.9</v>
      </c>
      <c r="AI241" s="1">
        <v>8800</v>
      </c>
      <c r="AJ241" s="1">
        <v>12583.49</v>
      </c>
      <c r="AK241" s="1">
        <v>9000</v>
      </c>
      <c r="AL241" s="1">
        <v>16243.95</v>
      </c>
      <c r="AM241" s="9">
        <f t="shared" si="49"/>
        <v>176299.40999999997</v>
      </c>
      <c r="AN241" s="9">
        <f t="shared" si="50"/>
        <v>231825.21</v>
      </c>
      <c r="AO241" s="248">
        <f t="shared" si="51"/>
        <v>408124.62</v>
      </c>
      <c r="AP241" s="10"/>
      <c r="AQ241" s="10">
        <f>(113091.13-14697.54)</f>
        <v>98393.59</v>
      </c>
      <c r="AR241" s="10"/>
      <c r="AS241" s="10"/>
      <c r="AT241" s="163">
        <f t="shared" si="57"/>
        <v>506518.20999999996</v>
      </c>
      <c r="AU241" s="2"/>
      <c r="AV241" s="2"/>
      <c r="AW241" s="168"/>
      <c r="AX241" s="21">
        <f t="shared" si="52"/>
        <v>334947.9020000001</v>
      </c>
      <c r="AY241" s="26">
        <v>103255.38</v>
      </c>
    </row>
    <row r="242" spans="1:51" ht="15.75">
      <c r="A242" s="1">
        <v>234</v>
      </c>
      <c r="B242" s="1" t="s">
        <v>242</v>
      </c>
      <c r="C242" s="1">
        <v>4159.6</v>
      </c>
      <c r="D242" s="1">
        <v>365.6</v>
      </c>
      <c r="E242" s="1">
        <f t="shared" si="56"/>
        <v>4525.200000000001</v>
      </c>
      <c r="F242" s="2">
        <v>14.32</v>
      </c>
      <c r="G242" s="2">
        <f t="shared" si="59"/>
        <v>64800.86400000001</v>
      </c>
      <c r="H242" s="2">
        <f t="shared" si="47"/>
        <v>388805.18400000007</v>
      </c>
      <c r="I242" s="2">
        <f t="shared" si="58"/>
        <v>14.32</v>
      </c>
      <c r="J242" s="2">
        <f t="shared" si="55"/>
        <v>64800.86400000001</v>
      </c>
      <c r="K242" s="2">
        <f t="shared" si="48"/>
        <v>388805.18400000007</v>
      </c>
      <c r="L242" s="13">
        <f t="shared" si="53"/>
        <v>777610.3680000001</v>
      </c>
      <c r="M242" s="139"/>
      <c r="N242" s="34">
        <f t="shared" si="54"/>
        <v>777610.3680000001</v>
      </c>
      <c r="O242" s="152">
        <v>0</v>
      </c>
      <c r="P242" s="152">
        <v>41936.79</v>
      </c>
      <c r="Q242" s="1">
        <v>0</v>
      </c>
      <c r="R242" s="1">
        <v>61128.69</v>
      </c>
      <c r="S242" s="1">
        <v>0</v>
      </c>
      <c r="T242" s="1">
        <v>86292.8</v>
      </c>
      <c r="U242" s="33">
        <v>0</v>
      </c>
      <c r="V242" s="33">
        <v>21576.13</v>
      </c>
      <c r="W242" s="1">
        <v>0</v>
      </c>
      <c r="X242" s="1">
        <v>29828.55</v>
      </c>
      <c r="Y242" s="1">
        <v>0</v>
      </c>
      <c r="Z242" s="1">
        <v>41837.28</v>
      </c>
      <c r="AA242" s="33">
        <v>0</v>
      </c>
      <c r="AB242" s="33">
        <v>37668.55</v>
      </c>
      <c r="AC242" s="33">
        <v>0</v>
      </c>
      <c r="AD242" s="33">
        <v>35781.93</v>
      </c>
      <c r="AE242" s="33">
        <v>0</v>
      </c>
      <c r="AF242" s="33">
        <v>90422.95</v>
      </c>
      <c r="AG242" s="1">
        <v>0</v>
      </c>
      <c r="AH242" s="1">
        <v>30312.62</v>
      </c>
      <c r="AI242" s="1">
        <v>0</v>
      </c>
      <c r="AJ242" s="1">
        <v>79298.99</v>
      </c>
      <c r="AK242" s="1">
        <v>0</v>
      </c>
      <c r="AL242" s="1">
        <v>28236.85</v>
      </c>
      <c r="AM242" s="9">
        <f t="shared" si="49"/>
        <v>0</v>
      </c>
      <c r="AN242" s="9">
        <f t="shared" si="50"/>
        <v>584322.13</v>
      </c>
      <c r="AO242" s="248">
        <f t="shared" si="51"/>
        <v>584322.13</v>
      </c>
      <c r="AP242" s="10"/>
      <c r="AQ242" s="10"/>
      <c r="AR242" s="10"/>
      <c r="AS242" s="10"/>
      <c r="AT242" s="163">
        <f t="shared" si="57"/>
        <v>584322.13</v>
      </c>
      <c r="AU242" s="2"/>
      <c r="AV242" s="2"/>
      <c r="AW242" s="168"/>
      <c r="AX242" s="21">
        <f t="shared" si="52"/>
        <v>193288.23800000013</v>
      </c>
      <c r="AY242" s="26">
        <v>182663.32</v>
      </c>
    </row>
    <row r="243" spans="1:51" ht="15.75">
      <c r="A243" s="1">
        <v>235</v>
      </c>
      <c r="B243" s="1" t="s">
        <v>243</v>
      </c>
      <c r="C243" s="1">
        <v>2632.3</v>
      </c>
      <c r="D243" s="1">
        <v>0</v>
      </c>
      <c r="E243" s="1">
        <f t="shared" si="56"/>
        <v>2632.3</v>
      </c>
      <c r="F243" s="2">
        <v>14.97</v>
      </c>
      <c r="G243" s="2">
        <f t="shared" si="59"/>
        <v>39405.531</v>
      </c>
      <c r="H243" s="2">
        <f t="shared" si="47"/>
        <v>236433.18600000002</v>
      </c>
      <c r="I243" s="2">
        <f t="shared" si="58"/>
        <v>14.97</v>
      </c>
      <c r="J243" s="2">
        <f t="shared" si="55"/>
        <v>39405.531</v>
      </c>
      <c r="K243" s="2">
        <f t="shared" si="48"/>
        <v>236433.18600000002</v>
      </c>
      <c r="L243" s="13">
        <f t="shared" si="53"/>
        <v>472866.37200000003</v>
      </c>
      <c r="M243" s="139">
        <v>-660958.07</v>
      </c>
      <c r="N243" s="34">
        <f t="shared" si="54"/>
        <v>-188091.69799999992</v>
      </c>
      <c r="O243" s="152">
        <v>10728.07</v>
      </c>
      <c r="P243" s="152">
        <v>9623.02</v>
      </c>
      <c r="Q243" s="1">
        <v>5189.91</v>
      </c>
      <c r="R243" s="1">
        <v>8684.89</v>
      </c>
      <c r="S243" s="1">
        <v>83406.66</v>
      </c>
      <c r="T243" s="1">
        <v>7685.01</v>
      </c>
      <c r="U243" s="33">
        <v>7308.98</v>
      </c>
      <c r="V243" s="33">
        <v>36971.31</v>
      </c>
      <c r="W243" s="1">
        <v>12690.97</v>
      </c>
      <c r="X243" s="1">
        <v>14600.91</v>
      </c>
      <c r="Y243" s="1">
        <v>8318.07</v>
      </c>
      <c r="Z243" s="1">
        <v>7685.01</v>
      </c>
      <c r="AA243" s="33">
        <v>17578.66</v>
      </c>
      <c r="AB243" s="33">
        <v>11346.64</v>
      </c>
      <c r="AC243" s="33">
        <v>167378.67</v>
      </c>
      <c r="AD243" s="33">
        <v>20769.71</v>
      </c>
      <c r="AE243" s="33">
        <v>20049.54</v>
      </c>
      <c r="AF243" s="33">
        <v>18111.27</v>
      </c>
      <c r="AG243" s="1">
        <v>5042.59</v>
      </c>
      <c r="AH243" s="1">
        <v>10585.64</v>
      </c>
      <c r="AI243" s="1">
        <v>11353.99</v>
      </c>
      <c r="AJ243" s="1">
        <v>7685.01</v>
      </c>
      <c r="AK243" s="1">
        <v>42897.88</v>
      </c>
      <c r="AL243" s="1">
        <v>7685.01</v>
      </c>
      <c r="AM243" s="9">
        <f t="shared" si="49"/>
        <v>391943.99</v>
      </c>
      <c r="AN243" s="9">
        <f t="shared" si="50"/>
        <v>161433.43</v>
      </c>
      <c r="AO243" s="248">
        <f t="shared" si="51"/>
        <v>553377.4199999999</v>
      </c>
      <c r="AP243" s="10"/>
      <c r="AQ243" s="10"/>
      <c r="AR243" s="10"/>
      <c r="AS243" s="10"/>
      <c r="AT243" s="163">
        <f t="shared" si="57"/>
        <v>553377.4199999999</v>
      </c>
      <c r="AU243" s="2"/>
      <c r="AV243" s="2"/>
      <c r="AW243" s="168">
        <v>2408</v>
      </c>
      <c r="AX243" s="21">
        <f t="shared" si="52"/>
        <v>-739061.1179999998</v>
      </c>
      <c r="AY243" s="26">
        <v>256876.16</v>
      </c>
    </row>
    <row r="244" spans="1:51" ht="15.75">
      <c r="A244" s="1">
        <v>236</v>
      </c>
      <c r="B244" s="1" t="s">
        <v>244</v>
      </c>
      <c r="C244" s="1">
        <v>3010.1</v>
      </c>
      <c r="D244" s="1">
        <v>567.3</v>
      </c>
      <c r="E244" s="1">
        <f t="shared" si="56"/>
        <v>3577.3999999999996</v>
      </c>
      <c r="F244" s="2">
        <v>13.97</v>
      </c>
      <c r="G244" s="2">
        <f t="shared" si="59"/>
        <v>49976.278</v>
      </c>
      <c r="H244" s="2">
        <f t="shared" si="47"/>
        <v>299857.668</v>
      </c>
      <c r="I244" s="2">
        <f t="shared" si="58"/>
        <v>13.97</v>
      </c>
      <c r="J244" s="2">
        <f t="shared" si="55"/>
        <v>49976.278</v>
      </c>
      <c r="K244" s="2">
        <f t="shared" si="48"/>
        <v>299857.668</v>
      </c>
      <c r="L244" s="13">
        <f t="shared" si="53"/>
        <v>599715.336</v>
      </c>
      <c r="M244" s="139"/>
      <c r="N244" s="34">
        <f t="shared" si="54"/>
        <v>599715.336</v>
      </c>
      <c r="O244" s="152">
        <v>6081.07</v>
      </c>
      <c r="P244" s="152">
        <v>18140.13</v>
      </c>
      <c r="Q244" s="1">
        <v>34923.13</v>
      </c>
      <c r="R244" s="1">
        <v>11675.62</v>
      </c>
      <c r="S244" s="1">
        <v>64306.1</v>
      </c>
      <c r="T244" s="1">
        <v>9423.15</v>
      </c>
      <c r="U244" s="33">
        <v>27056.77</v>
      </c>
      <c r="V244" s="33">
        <v>14011.78</v>
      </c>
      <c r="W244" s="1">
        <v>18891.54</v>
      </c>
      <c r="X244" s="1">
        <v>16523.88</v>
      </c>
      <c r="Y244" s="1">
        <v>11303.64</v>
      </c>
      <c r="Z244" s="1">
        <v>9423.15</v>
      </c>
      <c r="AA244" s="33">
        <v>11303.64</v>
      </c>
      <c r="AB244" s="33">
        <v>9423.15</v>
      </c>
      <c r="AC244" s="33">
        <v>11303.64</v>
      </c>
      <c r="AD244" s="33">
        <v>36353.8</v>
      </c>
      <c r="AE244" s="33">
        <v>75914.5</v>
      </c>
      <c r="AF244" s="33">
        <v>9423.15</v>
      </c>
      <c r="AG244" s="1">
        <v>6558.47</v>
      </c>
      <c r="AH244" s="1">
        <v>11600.9</v>
      </c>
      <c r="AI244" s="1">
        <v>7645.81</v>
      </c>
      <c r="AJ244" s="1">
        <v>34992.64</v>
      </c>
      <c r="AK244" s="1">
        <v>63128.13</v>
      </c>
      <c r="AL244" s="1">
        <v>9423.15</v>
      </c>
      <c r="AM244" s="9">
        <f t="shared" si="49"/>
        <v>338416.44</v>
      </c>
      <c r="AN244" s="9">
        <f t="shared" si="50"/>
        <v>190414.49999999997</v>
      </c>
      <c r="AO244" s="248">
        <f t="shared" si="51"/>
        <v>528830.94</v>
      </c>
      <c r="AP244" s="10"/>
      <c r="AQ244" s="10"/>
      <c r="AR244" s="10"/>
      <c r="AS244" s="10"/>
      <c r="AT244" s="163">
        <f t="shared" si="57"/>
        <v>528830.94</v>
      </c>
      <c r="AU244" s="2"/>
      <c r="AV244" s="2"/>
      <c r="AW244" s="168"/>
      <c r="AX244" s="21">
        <f t="shared" si="52"/>
        <v>70884.39600000007</v>
      </c>
      <c r="AY244" s="26">
        <v>132698.73</v>
      </c>
    </row>
    <row r="245" spans="1:51" ht="15.75">
      <c r="A245" s="1">
        <v>237</v>
      </c>
      <c r="B245" s="1" t="s">
        <v>245</v>
      </c>
      <c r="C245" s="1">
        <v>2691.8</v>
      </c>
      <c r="D245" s="1">
        <v>687.4</v>
      </c>
      <c r="E245" s="1">
        <f t="shared" si="56"/>
        <v>3379.2000000000003</v>
      </c>
      <c r="F245" s="143">
        <v>14.36</v>
      </c>
      <c r="G245" s="2">
        <f t="shared" si="59"/>
        <v>48525.312000000005</v>
      </c>
      <c r="H245" s="2">
        <f t="shared" si="47"/>
        <v>291151.87200000003</v>
      </c>
      <c r="I245" s="2">
        <f t="shared" si="58"/>
        <v>14.36</v>
      </c>
      <c r="J245" s="2">
        <f t="shared" si="55"/>
        <v>48525.312000000005</v>
      </c>
      <c r="K245" s="2">
        <f t="shared" si="48"/>
        <v>291151.87200000003</v>
      </c>
      <c r="L245" s="13">
        <f t="shared" si="53"/>
        <v>582303.7440000001</v>
      </c>
      <c r="M245" s="139"/>
      <c r="N245" s="34">
        <f t="shared" si="54"/>
        <v>582303.7440000001</v>
      </c>
      <c r="O245" s="152">
        <v>7476.78</v>
      </c>
      <c r="P245" s="152">
        <v>27184.48</v>
      </c>
      <c r="Q245" s="1">
        <v>19843.08</v>
      </c>
      <c r="R245" s="1">
        <v>13419.23</v>
      </c>
      <c r="S245" s="1">
        <v>95874.22</v>
      </c>
      <c r="T245" s="1">
        <v>13909.19</v>
      </c>
      <c r="U245" s="33">
        <v>7030.18</v>
      </c>
      <c r="V245" s="33">
        <v>17545.59</v>
      </c>
      <c r="W245" s="1">
        <v>11478.59</v>
      </c>
      <c r="X245" s="1">
        <v>23872.84</v>
      </c>
      <c r="Y245" s="1">
        <v>13565.77</v>
      </c>
      <c r="Z245" s="1">
        <v>15171.43</v>
      </c>
      <c r="AA245" s="33">
        <v>24505.04</v>
      </c>
      <c r="AB245" s="33">
        <v>15012.49</v>
      </c>
      <c r="AC245" s="33">
        <v>10677.96</v>
      </c>
      <c r="AD245" s="33">
        <v>21884.73</v>
      </c>
      <c r="AE245" s="33">
        <v>11323.76</v>
      </c>
      <c r="AF245" s="33">
        <v>18494.76</v>
      </c>
      <c r="AG245" s="1">
        <v>36655.36</v>
      </c>
      <c r="AH245" s="1">
        <v>12738.53</v>
      </c>
      <c r="AI245" s="1">
        <v>95792.81</v>
      </c>
      <c r="AJ245" s="1">
        <v>30147.94</v>
      </c>
      <c r="AK245" s="1">
        <v>43457.13</v>
      </c>
      <c r="AL245" s="1">
        <v>8914.29</v>
      </c>
      <c r="AM245" s="9">
        <f t="shared" si="49"/>
        <v>377680.68</v>
      </c>
      <c r="AN245" s="9">
        <f t="shared" si="50"/>
        <v>218295.50000000003</v>
      </c>
      <c r="AO245" s="248">
        <f t="shared" si="51"/>
        <v>595976.18</v>
      </c>
      <c r="AP245" s="10">
        <v>3748</v>
      </c>
      <c r="AQ245" s="10">
        <f>(267582.82-29379.95-63592.69)+24571+123064.77</f>
        <v>322245.95</v>
      </c>
      <c r="AR245" s="10"/>
      <c r="AS245" s="10"/>
      <c r="AT245" s="163">
        <f t="shared" si="57"/>
        <v>921970.1300000001</v>
      </c>
      <c r="AU245" s="2"/>
      <c r="AV245" s="2"/>
      <c r="AW245" s="168">
        <v>2408</v>
      </c>
      <c r="AX245" s="21">
        <f t="shared" si="52"/>
        <v>-337258.38600000006</v>
      </c>
      <c r="AY245" s="26">
        <v>176841.16</v>
      </c>
    </row>
    <row r="246" spans="1:51" ht="15.75">
      <c r="A246" s="1">
        <v>238</v>
      </c>
      <c r="B246" s="1" t="s">
        <v>246</v>
      </c>
      <c r="C246" s="1">
        <v>2640.6</v>
      </c>
      <c r="D246" s="1">
        <v>0</v>
      </c>
      <c r="E246" s="1">
        <f t="shared" si="56"/>
        <v>2640.6</v>
      </c>
      <c r="F246" s="2">
        <v>14.97</v>
      </c>
      <c r="G246" s="2">
        <f t="shared" si="59"/>
        <v>39529.782</v>
      </c>
      <c r="H246" s="2">
        <f t="shared" si="47"/>
        <v>237178.69199999998</v>
      </c>
      <c r="I246" s="2">
        <f t="shared" si="58"/>
        <v>14.97</v>
      </c>
      <c r="J246" s="2">
        <f t="shared" si="55"/>
        <v>39529.782</v>
      </c>
      <c r="K246" s="2">
        <f t="shared" si="48"/>
        <v>237178.69199999998</v>
      </c>
      <c r="L246" s="13">
        <f t="shared" si="53"/>
        <v>474357.38399999996</v>
      </c>
      <c r="M246" s="139"/>
      <c r="N246" s="34">
        <f t="shared" si="54"/>
        <v>474357.38399999996</v>
      </c>
      <c r="O246" s="152">
        <v>36267.1</v>
      </c>
      <c r="P246" s="152">
        <v>9039.53</v>
      </c>
      <c r="Q246" s="1">
        <v>5053.89</v>
      </c>
      <c r="R246" s="1">
        <v>9039.53</v>
      </c>
      <c r="S246" s="1">
        <v>7670.46</v>
      </c>
      <c r="T246" s="1">
        <v>13096.48</v>
      </c>
      <c r="U246" s="33">
        <v>4489.02</v>
      </c>
      <c r="V246" s="33">
        <v>8866.34</v>
      </c>
      <c r="W246" s="1">
        <v>8344.3</v>
      </c>
      <c r="X246" s="1">
        <v>9364.76</v>
      </c>
      <c r="Y246" s="1">
        <v>8344.3</v>
      </c>
      <c r="Z246" s="1">
        <v>7706.34</v>
      </c>
      <c r="AA246" s="33">
        <v>135266.43</v>
      </c>
      <c r="AB246" s="33">
        <v>14428.77</v>
      </c>
      <c r="AC246" s="33">
        <v>151718.09</v>
      </c>
      <c r="AD246" s="33">
        <v>16977.28</v>
      </c>
      <c r="AE246" s="33">
        <v>34539.72</v>
      </c>
      <c r="AF246" s="33">
        <v>22197.48</v>
      </c>
      <c r="AG246" s="1">
        <v>21716.22</v>
      </c>
      <c r="AH246" s="1">
        <v>17860.58</v>
      </c>
      <c r="AI246" s="1">
        <v>17166.81</v>
      </c>
      <c r="AJ246" s="1">
        <v>12926.34</v>
      </c>
      <c r="AK246" s="1">
        <v>8196.63</v>
      </c>
      <c r="AL246" s="1">
        <v>7706.34</v>
      </c>
      <c r="AM246" s="9">
        <f t="shared" si="49"/>
        <v>438772.9699999999</v>
      </c>
      <c r="AN246" s="9">
        <f t="shared" si="50"/>
        <v>149209.77000000002</v>
      </c>
      <c r="AO246" s="248">
        <f t="shared" si="51"/>
        <v>587982.74</v>
      </c>
      <c r="AP246" s="10"/>
      <c r="AQ246" s="10"/>
      <c r="AR246" s="10"/>
      <c r="AS246" s="10"/>
      <c r="AT246" s="163">
        <f t="shared" si="57"/>
        <v>587982.74</v>
      </c>
      <c r="AU246" s="2"/>
      <c r="AV246" s="2"/>
      <c r="AW246" s="168">
        <v>4128</v>
      </c>
      <c r="AX246" s="21">
        <f t="shared" si="52"/>
        <v>-109497.35600000003</v>
      </c>
      <c r="AY246" s="26">
        <v>286119.56</v>
      </c>
    </row>
    <row r="247" spans="1:51" ht="15.75">
      <c r="A247" s="1">
        <v>239</v>
      </c>
      <c r="B247" s="1" t="s">
        <v>247</v>
      </c>
      <c r="C247" s="1">
        <v>2649.2</v>
      </c>
      <c r="D247" s="1">
        <v>801.1</v>
      </c>
      <c r="E247" s="1">
        <f t="shared" si="56"/>
        <v>3450.2999999999997</v>
      </c>
      <c r="F247" s="2">
        <v>13.34</v>
      </c>
      <c r="G247" s="2">
        <f t="shared" si="59"/>
        <v>46027.00199999999</v>
      </c>
      <c r="H247" s="2">
        <f t="shared" si="47"/>
        <v>276162.012</v>
      </c>
      <c r="I247" s="2">
        <f t="shared" si="58"/>
        <v>13.34</v>
      </c>
      <c r="J247" s="2">
        <f t="shared" si="55"/>
        <v>46027.00199999999</v>
      </c>
      <c r="K247" s="2">
        <f t="shared" si="48"/>
        <v>276162.012</v>
      </c>
      <c r="L247" s="13">
        <f t="shared" si="53"/>
        <v>552324.024</v>
      </c>
      <c r="M247" s="139"/>
      <c r="N247" s="34">
        <f t="shared" si="54"/>
        <v>552324.024</v>
      </c>
      <c r="O247" s="152">
        <v>9677.43</v>
      </c>
      <c r="P247" s="152">
        <v>15662.14</v>
      </c>
      <c r="Q247" s="1">
        <v>8126.37</v>
      </c>
      <c r="R247" s="1">
        <v>9097.27</v>
      </c>
      <c r="S247" s="1">
        <v>56540.31</v>
      </c>
      <c r="T247" s="1">
        <v>14335.07</v>
      </c>
      <c r="U247" s="33">
        <v>8421.22</v>
      </c>
      <c r="V247" s="33">
        <v>10257.27</v>
      </c>
      <c r="W247" s="1">
        <v>10902.95</v>
      </c>
      <c r="X247" s="1">
        <v>9097.27</v>
      </c>
      <c r="Y247" s="1">
        <v>10902.95</v>
      </c>
      <c r="Z247" s="1">
        <v>17637.22</v>
      </c>
      <c r="AA247" s="33">
        <v>10902.95</v>
      </c>
      <c r="AB247" s="33">
        <v>9097.27</v>
      </c>
      <c r="AC247" s="33">
        <v>36522.62</v>
      </c>
      <c r="AD247" s="33">
        <v>22181.97</v>
      </c>
      <c r="AE247" s="33">
        <v>12549.75</v>
      </c>
      <c r="AF247" s="33">
        <v>9097.27</v>
      </c>
      <c r="AG247" s="1">
        <v>5865.51</v>
      </c>
      <c r="AH247" s="1">
        <v>11127.79</v>
      </c>
      <c r="AI247" s="1">
        <v>14693.71</v>
      </c>
      <c r="AJ247" s="1">
        <v>9097.27</v>
      </c>
      <c r="AK247" s="1">
        <v>10998.62</v>
      </c>
      <c r="AL247" s="1">
        <v>9097.27</v>
      </c>
      <c r="AM247" s="9">
        <f t="shared" si="49"/>
        <v>196104.38999999998</v>
      </c>
      <c r="AN247" s="9">
        <f t="shared" si="50"/>
        <v>145785.08</v>
      </c>
      <c r="AO247" s="248">
        <f t="shared" si="51"/>
        <v>341889.47</v>
      </c>
      <c r="AP247" s="10"/>
      <c r="AQ247" s="10"/>
      <c r="AR247" s="10"/>
      <c r="AS247" s="10"/>
      <c r="AT247" s="163">
        <f t="shared" si="57"/>
        <v>341889.47</v>
      </c>
      <c r="AU247" s="2"/>
      <c r="AV247" s="2"/>
      <c r="AW247" s="168">
        <v>4128</v>
      </c>
      <c r="AX247" s="21">
        <f t="shared" si="52"/>
        <v>214562.554</v>
      </c>
      <c r="AY247" s="26">
        <v>197494.38</v>
      </c>
    </row>
    <row r="248" spans="1:51" ht="15.75">
      <c r="A248" s="1">
        <v>240</v>
      </c>
      <c r="B248" s="1" t="s">
        <v>248</v>
      </c>
      <c r="C248" s="1">
        <v>3053.1</v>
      </c>
      <c r="D248" s="1">
        <v>391.7</v>
      </c>
      <c r="E248" s="1">
        <f t="shared" si="56"/>
        <v>3444.7999999999997</v>
      </c>
      <c r="F248" s="2">
        <v>14.36</v>
      </c>
      <c r="G248" s="2">
        <f t="shared" si="59"/>
        <v>49467.327999999994</v>
      </c>
      <c r="H248" s="2">
        <f t="shared" si="47"/>
        <v>296803.968</v>
      </c>
      <c r="I248" s="2">
        <f t="shared" si="58"/>
        <v>14.36</v>
      </c>
      <c r="J248" s="2">
        <f t="shared" si="55"/>
        <v>49467.327999999994</v>
      </c>
      <c r="K248" s="2">
        <f t="shared" si="48"/>
        <v>296803.968</v>
      </c>
      <c r="L248" s="13">
        <f t="shared" si="53"/>
        <v>593607.936</v>
      </c>
      <c r="M248" s="139"/>
      <c r="N248" s="34">
        <f t="shared" si="54"/>
        <v>593607.936</v>
      </c>
      <c r="O248" s="152">
        <v>15402.14</v>
      </c>
      <c r="P248" s="152">
        <v>13082.62</v>
      </c>
      <c r="Q248" s="1">
        <v>61207.03</v>
      </c>
      <c r="R248" s="1">
        <v>21574.78</v>
      </c>
      <c r="S248" s="1">
        <v>61970.53</v>
      </c>
      <c r="T248" s="1">
        <v>9083.14</v>
      </c>
      <c r="U248" s="33">
        <v>8411.87</v>
      </c>
      <c r="V248" s="33">
        <v>12789.87</v>
      </c>
      <c r="W248" s="1">
        <v>11862.84</v>
      </c>
      <c r="X248" s="1">
        <v>9083.14</v>
      </c>
      <c r="Y248" s="1">
        <v>17755.27</v>
      </c>
      <c r="Z248" s="1">
        <v>9083.14</v>
      </c>
      <c r="AA248" s="33">
        <v>21288.07</v>
      </c>
      <c r="AB248" s="33">
        <v>9083.14</v>
      </c>
      <c r="AC248" s="33">
        <v>10885.57</v>
      </c>
      <c r="AD248" s="33">
        <v>33424.06</v>
      </c>
      <c r="AE248" s="33">
        <v>18870.25</v>
      </c>
      <c r="AF248" s="33">
        <v>11468.65</v>
      </c>
      <c r="AG248" s="1">
        <v>10333.25</v>
      </c>
      <c r="AH248" s="1">
        <v>10243.55</v>
      </c>
      <c r="AI248" s="1">
        <v>9642.5</v>
      </c>
      <c r="AJ248" s="1">
        <v>15614.85</v>
      </c>
      <c r="AK248" s="1">
        <v>11290.38</v>
      </c>
      <c r="AL248" s="1">
        <v>9083.14</v>
      </c>
      <c r="AM248" s="9">
        <f t="shared" si="49"/>
        <v>258919.7</v>
      </c>
      <c r="AN248" s="9">
        <f t="shared" si="50"/>
        <v>163614.08000000002</v>
      </c>
      <c r="AO248" s="248">
        <f t="shared" si="51"/>
        <v>422533.78</v>
      </c>
      <c r="AP248" s="10"/>
      <c r="AQ248" s="10"/>
      <c r="AR248" s="10"/>
      <c r="AS248" s="10">
        <v>1000</v>
      </c>
      <c r="AT248" s="163">
        <f t="shared" si="57"/>
        <v>423533.78</v>
      </c>
      <c r="AU248" s="2"/>
      <c r="AV248" s="2"/>
      <c r="AW248" s="168">
        <v>2408</v>
      </c>
      <c r="AX248" s="21">
        <f t="shared" si="52"/>
        <v>172482.15599999996</v>
      </c>
      <c r="AY248" s="26">
        <v>103755.36</v>
      </c>
    </row>
    <row r="249" spans="1:51" ht="15.75">
      <c r="A249" s="1">
        <v>241</v>
      </c>
      <c r="B249" s="1" t="s">
        <v>249</v>
      </c>
      <c r="C249" s="1">
        <v>2500.4</v>
      </c>
      <c r="D249" s="1">
        <v>0</v>
      </c>
      <c r="E249" s="1">
        <f t="shared" si="56"/>
        <v>2500.4</v>
      </c>
      <c r="F249" s="2">
        <v>13.91</v>
      </c>
      <c r="G249" s="2">
        <f t="shared" si="59"/>
        <v>34780.564</v>
      </c>
      <c r="H249" s="2">
        <f t="shared" si="47"/>
        <v>208683.384</v>
      </c>
      <c r="I249" s="2">
        <f t="shared" si="58"/>
        <v>13.91</v>
      </c>
      <c r="J249" s="2">
        <f t="shared" si="55"/>
        <v>34780.564</v>
      </c>
      <c r="K249" s="2">
        <f t="shared" si="48"/>
        <v>208683.384</v>
      </c>
      <c r="L249" s="13">
        <f t="shared" si="53"/>
        <v>417366.768</v>
      </c>
      <c r="M249" s="139"/>
      <c r="N249" s="34">
        <f t="shared" si="54"/>
        <v>417366.768</v>
      </c>
      <c r="O249" s="152">
        <v>5443.08</v>
      </c>
      <c r="P249" s="152">
        <v>7145.99</v>
      </c>
      <c r="Q249" s="1">
        <v>6649.52</v>
      </c>
      <c r="R249" s="1">
        <v>11887.71</v>
      </c>
      <c r="S249" s="1">
        <v>59602.92</v>
      </c>
      <c r="T249" s="1">
        <v>6656.03</v>
      </c>
      <c r="U249" s="33">
        <v>4250.68</v>
      </c>
      <c r="V249" s="33">
        <v>11106.27</v>
      </c>
      <c r="W249" s="1">
        <v>7901.26</v>
      </c>
      <c r="X249" s="1">
        <v>10349.96</v>
      </c>
      <c r="Y249" s="1">
        <v>28232.96</v>
      </c>
      <c r="Z249" s="1">
        <v>6656.03</v>
      </c>
      <c r="AA249" s="33">
        <v>19403.4</v>
      </c>
      <c r="AB249" s="33">
        <v>6656.03</v>
      </c>
      <c r="AC249" s="33">
        <v>71501.26</v>
      </c>
      <c r="AD249" s="33">
        <v>13547.57</v>
      </c>
      <c r="AE249" s="33">
        <v>10036.26</v>
      </c>
      <c r="AF249" s="33">
        <v>6656.03</v>
      </c>
      <c r="AG249" s="1">
        <v>5149.54</v>
      </c>
      <c r="AH249" s="1">
        <v>7816.44</v>
      </c>
      <c r="AI249" s="1">
        <v>4290.21</v>
      </c>
      <c r="AJ249" s="1">
        <v>6656.03</v>
      </c>
      <c r="AK249" s="1">
        <v>9911.74</v>
      </c>
      <c r="AL249" s="1">
        <v>6656.03</v>
      </c>
      <c r="AM249" s="9">
        <f t="shared" si="49"/>
        <v>232372.83000000002</v>
      </c>
      <c r="AN249" s="9">
        <f t="shared" si="50"/>
        <v>101790.12</v>
      </c>
      <c r="AO249" s="248">
        <f t="shared" si="51"/>
        <v>334162.95</v>
      </c>
      <c r="AP249" s="10"/>
      <c r="AQ249" s="10"/>
      <c r="AR249" s="10"/>
      <c r="AS249" s="10"/>
      <c r="AT249" s="163">
        <f t="shared" si="57"/>
        <v>334162.95</v>
      </c>
      <c r="AU249" s="2"/>
      <c r="AV249" s="2"/>
      <c r="AW249" s="168">
        <v>4128</v>
      </c>
      <c r="AX249" s="21">
        <f t="shared" si="52"/>
        <v>87331.81799999997</v>
      </c>
      <c r="AY249" s="26">
        <v>336229.14</v>
      </c>
    </row>
    <row r="250" spans="1:51" ht="15.75">
      <c r="A250" s="1">
        <v>242</v>
      </c>
      <c r="B250" s="1" t="s">
        <v>250</v>
      </c>
      <c r="C250" s="1">
        <v>1743.4</v>
      </c>
      <c r="D250" s="1">
        <v>52.5</v>
      </c>
      <c r="E250" s="1">
        <f t="shared" si="56"/>
        <v>1795.9</v>
      </c>
      <c r="F250" s="2">
        <v>14.36</v>
      </c>
      <c r="G250" s="2">
        <f t="shared" si="59"/>
        <v>25789.124</v>
      </c>
      <c r="H250" s="2">
        <f t="shared" si="47"/>
        <v>154734.744</v>
      </c>
      <c r="I250" s="2">
        <f t="shared" si="58"/>
        <v>14.36</v>
      </c>
      <c r="J250" s="2">
        <f t="shared" si="55"/>
        <v>25789.124</v>
      </c>
      <c r="K250" s="2">
        <f t="shared" si="48"/>
        <v>154734.744</v>
      </c>
      <c r="L250" s="13">
        <f t="shared" si="53"/>
        <v>309469.488</v>
      </c>
      <c r="M250" s="139">
        <v>-19225.13</v>
      </c>
      <c r="N250" s="34">
        <f t="shared" si="54"/>
        <v>290244.358</v>
      </c>
      <c r="O250" s="152">
        <v>3051.5</v>
      </c>
      <c r="P250" s="152">
        <v>4843.15</v>
      </c>
      <c r="Q250" s="1">
        <v>32398.65</v>
      </c>
      <c r="R250" s="1">
        <v>4843.15</v>
      </c>
      <c r="S250" s="1">
        <v>6232.94</v>
      </c>
      <c r="T250" s="1">
        <v>4843.15</v>
      </c>
      <c r="U250" s="33">
        <v>3051.5</v>
      </c>
      <c r="V250" s="33">
        <v>6003.15</v>
      </c>
      <c r="W250" s="1">
        <v>5672.2</v>
      </c>
      <c r="X250" s="1">
        <v>4843.15</v>
      </c>
      <c r="Y250" s="1">
        <v>5672.2</v>
      </c>
      <c r="Z250" s="1">
        <v>4843.15</v>
      </c>
      <c r="AA250" s="33">
        <v>13013.69</v>
      </c>
      <c r="AB250" s="33">
        <v>4843.15</v>
      </c>
      <c r="AC250" s="33">
        <v>102872.2</v>
      </c>
      <c r="AD250" s="33">
        <v>15727.22</v>
      </c>
      <c r="AE250" s="33">
        <v>7807.2</v>
      </c>
      <c r="AF250" s="33">
        <v>4843.15</v>
      </c>
      <c r="AG250" s="1">
        <v>3742.25</v>
      </c>
      <c r="AH250" s="1">
        <v>6003.56</v>
      </c>
      <c r="AI250" s="1">
        <v>27512.18</v>
      </c>
      <c r="AJ250" s="1">
        <v>7493.55</v>
      </c>
      <c r="AK250" s="1">
        <v>7262.12</v>
      </c>
      <c r="AL250" s="1">
        <v>4843.15</v>
      </c>
      <c r="AM250" s="9">
        <f t="shared" si="49"/>
        <v>218288.63</v>
      </c>
      <c r="AN250" s="9">
        <f t="shared" si="50"/>
        <v>73972.68</v>
      </c>
      <c r="AO250" s="248">
        <f t="shared" si="51"/>
        <v>292261.31</v>
      </c>
      <c r="AP250" s="10"/>
      <c r="AQ250" s="10">
        <v>15865</v>
      </c>
      <c r="AR250" s="10"/>
      <c r="AS250" s="10"/>
      <c r="AT250" s="163">
        <f t="shared" si="57"/>
        <v>308126.31</v>
      </c>
      <c r="AU250" s="2"/>
      <c r="AV250" s="2"/>
      <c r="AW250" s="168"/>
      <c r="AX250" s="21">
        <f t="shared" si="52"/>
        <v>-17881.95199999999</v>
      </c>
      <c r="AY250" s="26">
        <v>200111.7</v>
      </c>
    </row>
    <row r="251" spans="1:51" ht="15.75">
      <c r="A251" s="1">
        <v>243</v>
      </c>
      <c r="B251" s="1" t="s">
        <v>251</v>
      </c>
      <c r="C251" s="1">
        <v>2239.18</v>
      </c>
      <c r="D251" s="1">
        <v>0</v>
      </c>
      <c r="E251" s="1">
        <f t="shared" si="56"/>
        <v>2239.18</v>
      </c>
      <c r="F251" s="2">
        <v>14.97</v>
      </c>
      <c r="G251" s="2">
        <f t="shared" si="59"/>
        <v>33520.5246</v>
      </c>
      <c r="H251" s="2">
        <f t="shared" si="47"/>
        <v>201123.14759999997</v>
      </c>
      <c r="I251" s="2">
        <f t="shared" si="58"/>
        <v>14.97</v>
      </c>
      <c r="J251" s="2">
        <f t="shared" si="55"/>
        <v>33520.5246</v>
      </c>
      <c r="K251" s="2">
        <f t="shared" si="48"/>
        <v>201123.14759999997</v>
      </c>
      <c r="L251" s="13">
        <f t="shared" si="53"/>
        <v>402246.29519999993</v>
      </c>
      <c r="M251" s="139"/>
      <c r="N251" s="34">
        <f t="shared" si="54"/>
        <v>402246.29519999993</v>
      </c>
      <c r="O251" s="152">
        <v>3806.61</v>
      </c>
      <c r="P251" s="152">
        <v>11216.37</v>
      </c>
      <c r="Q251" s="1">
        <v>73197.11</v>
      </c>
      <c r="R251" s="1">
        <v>5984.69</v>
      </c>
      <c r="S251" s="1">
        <v>5887.24</v>
      </c>
      <c r="T251" s="1">
        <v>5984.69</v>
      </c>
      <c r="U251" s="33">
        <v>3806.61</v>
      </c>
      <c r="V251" s="33">
        <v>7144.69</v>
      </c>
      <c r="W251" s="1">
        <v>7075.81</v>
      </c>
      <c r="X251" s="1">
        <v>25689.72</v>
      </c>
      <c r="Y251" s="1">
        <v>7075.81</v>
      </c>
      <c r="Z251" s="1">
        <v>5984.69</v>
      </c>
      <c r="AA251" s="33">
        <v>129662.42</v>
      </c>
      <c r="AB251" s="33">
        <v>10026.25</v>
      </c>
      <c r="AC251" s="33">
        <v>95370.76</v>
      </c>
      <c r="AD251" s="33">
        <v>92355.01</v>
      </c>
      <c r="AE251" s="33">
        <v>30940.81</v>
      </c>
      <c r="AF251" s="33">
        <v>8371.2</v>
      </c>
      <c r="AG251" s="1">
        <v>32329.16</v>
      </c>
      <c r="AH251" s="1">
        <v>7145.1</v>
      </c>
      <c r="AI251" s="1">
        <v>3806.61</v>
      </c>
      <c r="AJ251" s="1">
        <v>5984.69</v>
      </c>
      <c r="AK251" s="1">
        <v>6253.81</v>
      </c>
      <c r="AL251" s="1">
        <v>29329.91</v>
      </c>
      <c r="AM251" s="9">
        <f t="shared" si="49"/>
        <v>399212.75999999995</v>
      </c>
      <c r="AN251" s="9">
        <f t="shared" si="50"/>
        <v>215217.01</v>
      </c>
      <c r="AO251" s="248">
        <f t="shared" si="51"/>
        <v>614429.77</v>
      </c>
      <c r="AP251" s="12">
        <v>2486</v>
      </c>
      <c r="AQ251" s="10">
        <f>(77363.94-51803.31)+(588705.82-27460.57)+216384.61+310985.85</f>
        <v>1114176.3399999999</v>
      </c>
      <c r="AR251" s="10"/>
      <c r="AS251" s="10"/>
      <c r="AT251" s="163">
        <f t="shared" si="57"/>
        <v>1731092.1099999999</v>
      </c>
      <c r="AU251" s="2"/>
      <c r="AV251" s="2"/>
      <c r="AW251" s="168">
        <v>4128</v>
      </c>
      <c r="AX251" s="21">
        <f t="shared" si="52"/>
        <v>-1324717.8147999998</v>
      </c>
      <c r="AY251" s="26">
        <v>50956.5</v>
      </c>
    </row>
    <row r="252" spans="1:51" ht="15.75">
      <c r="A252" s="1">
        <v>244</v>
      </c>
      <c r="B252" s="101" t="s">
        <v>468</v>
      </c>
      <c r="C252" s="1">
        <v>3478</v>
      </c>
      <c r="D252" s="1">
        <v>0</v>
      </c>
      <c r="E252" s="1">
        <f t="shared" si="56"/>
        <v>3478</v>
      </c>
      <c r="F252" s="2">
        <v>14.36</v>
      </c>
      <c r="G252" s="2">
        <f t="shared" si="59"/>
        <v>49944.079999999994</v>
      </c>
      <c r="H252" s="2">
        <f t="shared" si="47"/>
        <v>299664.48</v>
      </c>
      <c r="I252" s="2">
        <f t="shared" si="58"/>
        <v>14.36</v>
      </c>
      <c r="J252" s="2">
        <f t="shared" si="55"/>
        <v>49944.079999999994</v>
      </c>
      <c r="K252" s="143">
        <f>J252*5</f>
        <v>249720.39999999997</v>
      </c>
      <c r="L252" s="13">
        <f t="shared" si="53"/>
        <v>549384.8799999999</v>
      </c>
      <c r="M252" s="139"/>
      <c r="N252" s="34">
        <f t="shared" si="54"/>
        <v>549384.8799999999</v>
      </c>
      <c r="O252" s="152">
        <v>7504.94</v>
      </c>
      <c r="P252" s="152">
        <v>9168.46</v>
      </c>
      <c r="Q252" s="1">
        <v>43306.74</v>
      </c>
      <c r="R252" s="1">
        <v>9168.46</v>
      </c>
      <c r="S252" s="1">
        <v>13077.31</v>
      </c>
      <c r="T252" s="1">
        <v>24345.6</v>
      </c>
      <c r="U252" s="33">
        <v>16660.09</v>
      </c>
      <c r="V252" s="33">
        <v>18173.28</v>
      </c>
      <c r="W252" s="1">
        <v>28497.84</v>
      </c>
      <c r="X252" s="1">
        <v>10796.34</v>
      </c>
      <c r="Y252" s="1">
        <v>21529.07</v>
      </c>
      <c r="Z252" s="1">
        <v>9168.46</v>
      </c>
      <c r="AA252" s="33">
        <v>29445.97</v>
      </c>
      <c r="AB252" s="33">
        <v>11654.28</v>
      </c>
      <c r="AC252" s="33">
        <v>15210.04</v>
      </c>
      <c r="AD252" s="33">
        <v>54120.51</v>
      </c>
      <c r="AE252" s="33">
        <v>13633.76</v>
      </c>
      <c r="AF252" s="33">
        <v>9168.46</v>
      </c>
      <c r="AG252" s="1">
        <v>6399.52</v>
      </c>
      <c r="AH252" s="1">
        <v>10328.87</v>
      </c>
      <c r="AI252" s="1">
        <v>6399.52</v>
      </c>
      <c r="AJ252" s="1">
        <v>18934.39</v>
      </c>
      <c r="AK252" s="183">
        <v>0</v>
      </c>
      <c r="AL252" s="183">
        <v>0</v>
      </c>
      <c r="AM252" s="9">
        <f t="shared" si="49"/>
        <v>201664.8</v>
      </c>
      <c r="AN252" s="9">
        <f t="shared" si="50"/>
        <v>185027.11</v>
      </c>
      <c r="AO252" s="248">
        <f t="shared" si="51"/>
        <v>386691.91</v>
      </c>
      <c r="AP252" s="10"/>
      <c r="AQ252" s="10">
        <f>(194413.5-82442.62)+66334.03</f>
        <v>178304.91</v>
      </c>
      <c r="AR252" s="12"/>
      <c r="AS252" s="10"/>
      <c r="AT252" s="163">
        <f t="shared" si="57"/>
        <v>564996.82</v>
      </c>
      <c r="AU252" s="2"/>
      <c r="AV252" s="2"/>
      <c r="AW252" s="168">
        <v>3784</v>
      </c>
      <c r="AX252" s="21">
        <f t="shared" si="52"/>
        <v>-11827.94000000006</v>
      </c>
      <c r="AY252" s="26">
        <v>264501.84</v>
      </c>
    </row>
    <row r="253" spans="1:51" ht="15.75">
      <c r="A253" s="1">
        <v>245</v>
      </c>
      <c r="B253" s="1" t="s">
        <v>252</v>
      </c>
      <c r="C253" s="1">
        <v>3052.7</v>
      </c>
      <c r="D253" s="1">
        <v>206.1</v>
      </c>
      <c r="E253" s="1">
        <f t="shared" si="56"/>
        <v>3258.7999999999997</v>
      </c>
      <c r="F253" s="2">
        <v>14.36</v>
      </c>
      <c r="G253" s="2">
        <f t="shared" si="59"/>
        <v>46796.367999999995</v>
      </c>
      <c r="H253" s="2">
        <f t="shared" si="47"/>
        <v>280778.208</v>
      </c>
      <c r="I253" s="2">
        <f t="shared" si="58"/>
        <v>14.36</v>
      </c>
      <c r="J253" s="2">
        <f t="shared" si="55"/>
        <v>46796.367999999995</v>
      </c>
      <c r="K253" s="2">
        <f t="shared" si="48"/>
        <v>280778.208</v>
      </c>
      <c r="L253" s="13">
        <f t="shared" si="53"/>
        <v>561556.416</v>
      </c>
      <c r="M253" s="139"/>
      <c r="N253" s="34">
        <f t="shared" si="54"/>
        <v>561556.416</v>
      </c>
      <c r="O253" s="152">
        <v>176896.89</v>
      </c>
      <c r="P253" s="152">
        <v>8359.44</v>
      </c>
      <c r="Q253" s="1">
        <v>37619.73</v>
      </c>
      <c r="R253" s="1">
        <v>43414.88</v>
      </c>
      <c r="S253" s="1">
        <v>25068.14</v>
      </c>
      <c r="T253" s="1">
        <v>26095</v>
      </c>
      <c r="U253" s="33">
        <v>5984.97</v>
      </c>
      <c r="V253" s="33">
        <v>9519.44</v>
      </c>
      <c r="W253" s="1">
        <v>13076.34</v>
      </c>
      <c r="X253" s="1">
        <v>8359.44</v>
      </c>
      <c r="Y253" s="1">
        <v>12750.58</v>
      </c>
      <c r="Z253" s="1">
        <v>8359.44</v>
      </c>
      <c r="AA253" s="33">
        <v>16107.68</v>
      </c>
      <c r="AB253" s="33">
        <v>8359.44</v>
      </c>
      <c r="AC253" s="33">
        <v>12750.58</v>
      </c>
      <c r="AD253" s="33">
        <v>34121.18</v>
      </c>
      <c r="AE253" s="33">
        <v>12750.58</v>
      </c>
      <c r="AF253" s="33">
        <v>28923.74</v>
      </c>
      <c r="AG253" s="1">
        <v>20189.43</v>
      </c>
      <c r="AH253" s="1">
        <v>87962.92</v>
      </c>
      <c r="AI253" s="1">
        <v>6314.61</v>
      </c>
      <c r="AJ253" s="1">
        <v>25396.73</v>
      </c>
      <c r="AK253" s="1">
        <v>9354.66</v>
      </c>
      <c r="AL253" s="1">
        <v>8359.44</v>
      </c>
      <c r="AM253" s="9">
        <f t="shared" si="49"/>
        <v>348864.19</v>
      </c>
      <c r="AN253" s="9">
        <f t="shared" si="50"/>
        <v>297231.08999999997</v>
      </c>
      <c r="AO253" s="248">
        <f t="shared" si="51"/>
        <v>646095.28</v>
      </c>
      <c r="AP253" s="10"/>
      <c r="AQ253" s="10"/>
      <c r="AR253" s="10"/>
      <c r="AS253" s="10"/>
      <c r="AT253" s="163">
        <f t="shared" si="57"/>
        <v>646095.28</v>
      </c>
      <c r="AU253" s="2"/>
      <c r="AV253" s="2"/>
      <c r="AW253" s="168">
        <v>2408</v>
      </c>
      <c r="AX253" s="21">
        <f t="shared" si="52"/>
        <v>-82130.86400000006</v>
      </c>
      <c r="AY253" s="26">
        <f>294983.06+23738.03</f>
        <v>318721.08999999997</v>
      </c>
    </row>
    <row r="254" spans="1:51" ht="15.75">
      <c r="A254" s="1">
        <v>246</v>
      </c>
      <c r="B254" s="1" t="s">
        <v>253</v>
      </c>
      <c r="C254" s="1">
        <v>4428.1</v>
      </c>
      <c r="D254" s="1">
        <v>208.7</v>
      </c>
      <c r="E254" s="1">
        <f t="shared" si="56"/>
        <v>4636.8</v>
      </c>
      <c r="F254" s="2">
        <v>14.36</v>
      </c>
      <c r="G254" s="2">
        <f t="shared" si="59"/>
        <v>66584.448</v>
      </c>
      <c r="H254" s="2">
        <f t="shared" si="47"/>
        <v>399506.688</v>
      </c>
      <c r="I254" s="2">
        <f t="shared" si="58"/>
        <v>14.36</v>
      </c>
      <c r="J254" s="2">
        <f t="shared" si="55"/>
        <v>66584.448</v>
      </c>
      <c r="K254" s="2">
        <f t="shared" si="48"/>
        <v>399506.688</v>
      </c>
      <c r="L254" s="13">
        <f t="shared" si="53"/>
        <v>799013.376</v>
      </c>
      <c r="M254" s="139"/>
      <c r="N254" s="34">
        <f t="shared" si="54"/>
        <v>799013.376</v>
      </c>
      <c r="O254" s="152">
        <v>8531.71</v>
      </c>
      <c r="P254" s="152">
        <v>12376.58</v>
      </c>
      <c r="Q254" s="1">
        <v>20621.55</v>
      </c>
      <c r="R254" s="1">
        <v>12376.58</v>
      </c>
      <c r="S254" s="1">
        <v>61396.04</v>
      </c>
      <c r="T254" s="1">
        <v>13709.77</v>
      </c>
      <c r="U254" s="33">
        <v>11699.63</v>
      </c>
      <c r="V254" s="33">
        <v>13536.58</v>
      </c>
      <c r="W254" s="1">
        <v>18176.26</v>
      </c>
      <c r="X254" s="1">
        <v>15414.35</v>
      </c>
      <c r="Y254" s="1">
        <v>25561.34</v>
      </c>
      <c r="Z254" s="1">
        <v>16303.58</v>
      </c>
      <c r="AA254" s="33">
        <v>22504.24</v>
      </c>
      <c r="AB254" s="33">
        <v>12376.58</v>
      </c>
      <c r="AC254" s="33">
        <v>30601.52</v>
      </c>
      <c r="AD254" s="33">
        <v>34083.9</v>
      </c>
      <c r="AE254" s="33">
        <v>22131.26</v>
      </c>
      <c r="AF254" s="33">
        <v>48519.44</v>
      </c>
      <c r="AG254" s="1">
        <v>8531.71</v>
      </c>
      <c r="AH254" s="1">
        <v>13536.99</v>
      </c>
      <c r="AI254" s="1">
        <v>18792.56</v>
      </c>
      <c r="AJ254" s="1">
        <v>12376.58</v>
      </c>
      <c r="AK254" s="1">
        <v>12018.47</v>
      </c>
      <c r="AL254" s="1">
        <v>12987.07</v>
      </c>
      <c r="AM254" s="9">
        <f t="shared" si="49"/>
        <v>260566.28999999998</v>
      </c>
      <c r="AN254" s="9">
        <f t="shared" si="50"/>
        <v>217598</v>
      </c>
      <c r="AO254" s="248">
        <f t="shared" si="51"/>
        <v>478164.29</v>
      </c>
      <c r="AP254" s="10"/>
      <c r="AQ254" s="10"/>
      <c r="AR254" s="10"/>
      <c r="AS254" s="10">
        <v>1000</v>
      </c>
      <c r="AT254" s="163">
        <f t="shared" si="57"/>
        <v>479164.29</v>
      </c>
      <c r="AU254" s="2"/>
      <c r="AV254" s="2"/>
      <c r="AW254" s="168">
        <v>2408</v>
      </c>
      <c r="AX254" s="21">
        <f t="shared" si="52"/>
        <v>322257.08600000007</v>
      </c>
      <c r="AY254" s="26">
        <f>380729.31+16250.62</f>
        <v>396979.93</v>
      </c>
    </row>
    <row r="255" spans="1:51" ht="15.75">
      <c r="A255" s="1">
        <v>247</v>
      </c>
      <c r="B255" s="1" t="s">
        <v>254</v>
      </c>
      <c r="C255" s="1">
        <v>4389.7</v>
      </c>
      <c r="D255" s="1">
        <v>52.1</v>
      </c>
      <c r="E255" s="1">
        <f t="shared" si="56"/>
        <v>4441.8</v>
      </c>
      <c r="F255" s="2">
        <v>14.36</v>
      </c>
      <c r="G255" s="2">
        <f t="shared" si="59"/>
        <v>63784.248</v>
      </c>
      <c r="H255" s="2">
        <f t="shared" si="47"/>
        <v>382705.488</v>
      </c>
      <c r="I255" s="2">
        <f t="shared" si="58"/>
        <v>14.36</v>
      </c>
      <c r="J255" s="2">
        <f t="shared" si="55"/>
        <v>63784.248</v>
      </c>
      <c r="K255" s="2">
        <f t="shared" si="48"/>
        <v>382705.488</v>
      </c>
      <c r="L255" s="13">
        <f t="shared" si="53"/>
        <v>765410.976</v>
      </c>
      <c r="M255" s="139"/>
      <c r="N255" s="34">
        <f t="shared" si="54"/>
        <v>765410.976</v>
      </c>
      <c r="O255" s="152">
        <v>0</v>
      </c>
      <c r="P255" s="152">
        <v>37366.2</v>
      </c>
      <c r="Q255" s="1">
        <v>0</v>
      </c>
      <c r="R255" s="1">
        <v>20784.95</v>
      </c>
      <c r="S255" s="1">
        <v>0</v>
      </c>
      <c r="T255" s="1">
        <v>84218.95</v>
      </c>
      <c r="U255" s="33">
        <v>0</v>
      </c>
      <c r="V255" s="33">
        <v>24678.79</v>
      </c>
      <c r="W255" s="1">
        <v>0</v>
      </c>
      <c r="X255" s="1">
        <v>35869.9</v>
      </c>
      <c r="Y255" s="1">
        <v>0</v>
      </c>
      <c r="Z255" s="1">
        <v>83959.48</v>
      </c>
      <c r="AA255" s="33">
        <v>0</v>
      </c>
      <c r="AB255" s="33">
        <v>39771.31</v>
      </c>
      <c r="AC255" s="33">
        <v>0</v>
      </c>
      <c r="AD255" s="33">
        <v>29287.28</v>
      </c>
      <c r="AE255" s="33">
        <v>0</v>
      </c>
      <c r="AF255" s="33">
        <v>76389.65</v>
      </c>
      <c r="AG255" s="1">
        <v>0</v>
      </c>
      <c r="AH255" s="1">
        <v>59446.29</v>
      </c>
      <c r="AI255" s="1">
        <v>0</v>
      </c>
      <c r="AJ255" s="1">
        <v>21788.34</v>
      </c>
      <c r="AK255" s="1">
        <v>0</v>
      </c>
      <c r="AL255" s="1">
        <v>31369.69</v>
      </c>
      <c r="AM255" s="9">
        <f t="shared" si="49"/>
        <v>0</v>
      </c>
      <c r="AN255" s="9">
        <f t="shared" si="50"/>
        <v>544930.83</v>
      </c>
      <c r="AO255" s="248">
        <f t="shared" si="51"/>
        <v>544930.83</v>
      </c>
      <c r="AP255" s="10"/>
      <c r="AQ255" s="10">
        <f>(29541-12379.39)+(69889.07-17221.31)</f>
        <v>69829.37000000001</v>
      </c>
      <c r="AR255" s="10"/>
      <c r="AS255" s="10"/>
      <c r="AT255" s="163">
        <f t="shared" si="57"/>
        <v>614760.2</v>
      </c>
      <c r="AU255" s="2"/>
      <c r="AV255" s="2"/>
      <c r="AW255" s="168">
        <v>2408</v>
      </c>
      <c r="AX255" s="21">
        <f t="shared" si="52"/>
        <v>153058.77600000007</v>
      </c>
      <c r="AY255" s="26">
        <v>124996.99</v>
      </c>
    </row>
    <row r="256" spans="1:51" ht="15.75">
      <c r="A256" s="1">
        <v>248</v>
      </c>
      <c r="B256" s="1" t="s">
        <v>479</v>
      </c>
      <c r="C256" s="1">
        <v>4474.2</v>
      </c>
      <c r="D256" s="1">
        <v>95.8</v>
      </c>
      <c r="E256" s="1">
        <f t="shared" si="56"/>
        <v>4570</v>
      </c>
      <c r="F256" s="2">
        <v>12.98</v>
      </c>
      <c r="G256" s="2">
        <f t="shared" si="59"/>
        <v>59318.6</v>
      </c>
      <c r="H256" s="2">
        <f t="shared" si="47"/>
        <v>355911.6</v>
      </c>
      <c r="I256" s="143">
        <v>14.32</v>
      </c>
      <c r="J256" s="143">
        <f>E256*I256</f>
        <v>65442.4</v>
      </c>
      <c r="K256" s="2">
        <f>J256*4+G256*2</f>
        <v>380406.8</v>
      </c>
      <c r="L256" s="13">
        <f t="shared" si="53"/>
        <v>736318.3999999999</v>
      </c>
      <c r="M256" s="139">
        <v>-138814.95</v>
      </c>
      <c r="N256" s="34">
        <f t="shared" si="54"/>
        <v>597503.45</v>
      </c>
      <c r="O256" s="152">
        <v>0</v>
      </c>
      <c r="P256" s="152">
        <v>45860.61</v>
      </c>
      <c r="Q256" s="1">
        <v>0</v>
      </c>
      <c r="R256" s="1">
        <v>21336.72</v>
      </c>
      <c r="S256" s="1">
        <v>0</v>
      </c>
      <c r="T256" s="1">
        <v>68960.51</v>
      </c>
      <c r="U256" s="33">
        <v>0</v>
      </c>
      <c r="V256" s="33">
        <v>44951.71</v>
      </c>
      <c r="W256" s="1">
        <v>0</v>
      </c>
      <c r="X256" s="1">
        <v>33114.72</v>
      </c>
      <c r="Y256" s="1">
        <v>0</v>
      </c>
      <c r="Z256" s="1">
        <v>220884.01</v>
      </c>
      <c r="AA256" s="33">
        <v>0</v>
      </c>
      <c r="AB256" s="33">
        <v>47623.76</v>
      </c>
      <c r="AC256" s="33">
        <v>0</v>
      </c>
      <c r="AD256" s="33">
        <v>128177.18</v>
      </c>
      <c r="AE256" s="33">
        <v>0</v>
      </c>
      <c r="AF256" s="33">
        <v>33573.8</v>
      </c>
      <c r="AG256" s="1">
        <v>0</v>
      </c>
      <c r="AH256" s="1">
        <v>28463.78</v>
      </c>
      <c r="AI256" s="1">
        <v>0</v>
      </c>
      <c r="AJ256" s="1">
        <v>117861.43</v>
      </c>
      <c r="AK256" s="1">
        <v>0</v>
      </c>
      <c r="AL256" s="1">
        <v>27331.52</v>
      </c>
      <c r="AM256" s="9">
        <f t="shared" si="49"/>
        <v>0</v>
      </c>
      <c r="AN256" s="9">
        <f t="shared" si="50"/>
        <v>818139.75</v>
      </c>
      <c r="AO256" s="248">
        <f t="shared" si="51"/>
        <v>818139.75</v>
      </c>
      <c r="AP256" s="10"/>
      <c r="AQ256" s="10">
        <f>206810.81+111652.36</f>
        <v>318463.17</v>
      </c>
      <c r="AR256" s="10"/>
      <c r="AS256" s="10"/>
      <c r="AT256" s="163">
        <f t="shared" si="57"/>
        <v>1136602.92</v>
      </c>
      <c r="AU256" s="2"/>
      <c r="AV256" s="2"/>
      <c r="AW256" s="168"/>
      <c r="AX256" s="21">
        <f t="shared" si="52"/>
        <v>-539099.47</v>
      </c>
      <c r="AY256" s="26">
        <v>719126.77</v>
      </c>
    </row>
    <row r="257" spans="1:51" ht="15.75">
      <c r="A257" s="1">
        <v>249</v>
      </c>
      <c r="B257" s="1" t="s">
        <v>255</v>
      </c>
      <c r="C257" s="1">
        <v>3186.8</v>
      </c>
      <c r="D257" s="1">
        <v>0</v>
      </c>
      <c r="E257" s="1">
        <f t="shared" si="56"/>
        <v>3186.8</v>
      </c>
      <c r="F257" s="2">
        <v>14.32</v>
      </c>
      <c r="G257" s="2">
        <f t="shared" si="59"/>
        <v>45634.976</v>
      </c>
      <c r="H257" s="2">
        <f aca="true" t="shared" si="60" ref="H257:H316">G257*6</f>
        <v>273809.856</v>
      </c>
      <c r="I257" s="2">
        <f t="shared" si="58"/>
        <v>14.32</v>
      </c>
      <c r="J257" s="2">
        <f t="shared" si="55"/>
        <v>45634.976</v>
      </c>
      <c r="K257" s="2">
        <f aca="true" t="shared" si="61" ref="K257:K316">J257*6</f>
        <v>273809.856</v>
      </c>
      <c r="L257" s="13">
        <f t="shared" si="53"/>
        <v>547619.712</v>
      </c>
      <c r="M257" s="139"/>
      <c r="N257" s="34">
        <f t="shared" si="54"/>
        <v>547619.712</v>
      </c>
      <c r="O257" s="152">
        <v>7707.07</v>
      </c>
      <c r="P257" s="152">
        <v>8420.08</v>
      </c>
      <c r="Q257" s="1">
        <v>8136.17</v>
      </c>
      <c r="R257" s="1">
        <v>8420.08</v>
      </c>
      <c r="S257" s="1">
        <v>17308.63</v>
      </c>
      <c r="T257" s="1">
        <v>14560.53</v>
      </c>
      <c r="U257" s="33">
        <v>24977.54</v>
      </c>
      <c r="V257" s="33">
        <v>33176.55</v>
      </c>
      <c r="W257" s="1">
        <v>13922.1</v>
      </c>
      <c r="X257" s="1">
        <v>8420.08</v>
      </c>
      <c r="Y257" s="1">
        <v>19182.01</v>
      </c>
      <c r="Z257" s="1">
        <v>17608.8</v>
      </c>
      <c r="AA257" s="33">
        <v>24196.25</v>
      </c>
      <c r="AB257" s="33">
        <v>19432.62</v>
      </c>
      <c r="AC257" s="33">
        <v>50190.4</v>
      </c>
      <c r="AD257" s="33">
        <v>8420.08</v>
      </c>
      <c r="AE257" s="33">
        <v>12492.26</v>
      </c>
      <c r="AF257" s="33">
        <v>9320.08</v>
      </c>
      <c r="AG257" s="1">
        <v>5863.71</v>
      </c>
      <c r="AH257" s="1">
        <v>9580.49</v>
      </c>
      <c r="AI257" s="1">
        <v>5863.71</v>
      </c>
      <c r="AJ257" s="1">
        <v>8420.08</v>
      </c>
      <c r="AK257" s="1">
        <v>26944.59</v>
      </c>
      <c r="AL257" s="1">
        <v>10770.15</v>
      </c>
      <c r="AM257" s="9">
        <f aca="true" t="shared" si="62" ref="AM257:AM315">O257+Q257+S257+U257+W257+Y257+AA257+AC257+AE257+AG257+AI257+AK257</f>
        <v>216784.44</v>
      </c>
      <c r="AN257" s="9">
        <f aca="true" t="shared" si="63" ref="AN257:AN315">P257+R257+T257+V257+X257+Z257+AB257+AD257+AF257+AH257+AJ257+AL257</f>
        <v>156549.62</v>
      </c>
      <c r="AO257" s="248">
        <f aca="true" t="shared" si="64" ref="AO257:AO315">AM257+AN257</f>
        <v>373334.06</v>
      </c>
      <c r="AP257" s="10"/>
      <c r="AQ257" s="10">
        <f>(119946-119067.93)+(69889.07)+9959</f>
        <v>80726.14000000001</v>
      </c>
      <c r="AR257" s="10"/>
      <c r="AS257" s="10"/>
      <c r="AT257" s="163">
        <f t="shared" si="57"/>
        <v>454060.2</v>
      </c>
      <c r="AU257" s="2"/>
      <c r="AV257" s="2"/>
      <c r="AW257" s="168"/>
      <c r="AX257" s="21">
        <f aca="true" t="shared" si="65" ref="AX257:AX320">N257-AT257+AU257+AV257+AW257</f>
        <v>93559.51200000005</v>
      </c>
      <c r="AY257" s="26">
        <v>97523.01</v>
      </c>
    </row>
    <row r="258" spans="1:78" s="18" customFormat="1" ht="15.75">
      <c r="A258" s="1">
        <v>250</v>
      </c>
      <c r="B258" s="1" t="s">
        <v>256</v>
      </c>
      <c r="C258" s="1">
        <v>280.3</v>
      </c>
      <c r="D258" s="1">
        <v>0</v>
      </c>
      <c r="E258" s="1">
        <f t="shared" si="56"/>
        <v>280.3</v>
      </c>
      <c r="F258" s="2">
        <v>12.48</v>
      </c>
      <c r="G258" s="2">
        <f t="shared" si="59"/>
        <v>3498.1440000000002</v>
      </c>
      <c r="H258" s="2">
        <f t="shared" si="60"/>
        <v>20988.864</v>
      </c>
      <c r="I258" s="2">
        <f t="shared" si="58"/>
        <v>12.48</v>
      </c>
      <c r="J258" s="2">
        <f t="shared" si="55"/>
        <v>3498.1440000000002</v>
      </c>
      <c r="K258" s="2">
        <f t="shared" si="61"/>
        <v>20988.864</v>
      </c>
      <c r="L258" s="13">
        <f aca="true" t="shared" si="66" ref="L258:L317">H258+K258</f>
        <v>41977.728</v>
      </c>
      <c r="M258" s="139">
        <v>-76224.56</v>
      </c>
      <c r="N258" s="34">
        <f aca="true" t="shared" si="67" ref="N258:N320">L258+M258</f>
        <v>-34246.831999999995</v>
      </c>
      <c r="O258" s="152">
        <v>0</v>
      </c>
      <c r="P258" s="152">
        <v>1137.23</v>
      </c>
      <c r="Q258" s="1">
        <v>0</v>
      </c>
      <c r="R258" s="1">
        <v>1302.6</v>
      </c>
      <c r="S258" s="1">
        <v>0</v>
      </c>
      <c r="T258" s="1">
        <v>1180.37</v>
      </c>
      <c r="U258" s="33">
        <v>2272.46</v>
      </c>
      <c r="V258" s="33">
        <v>1760.37</v>
      </c>
      <c r="W258" s="1">
        <v>0</v>
      </c>
      <c r="X258" s="1">
        <v>1752.18</v>
      </c>
      <c r="Y258" s="1">
        <v>0</v>
      </c>
      <c r="Z258" s="1">
        <v>1180.37</v>
      </c>
      <c r="AA258" s="33">
        <v>0</v>
      </c>
      <c r="AB258" s="33">
        <v>1180.37</v>
      </c>
      <c r="AC258" s="33">
        <v>0</v>
      </c>
      <c r="AD258" s="33">
        <v>1180.37</v>
      </c>
      <c r="AE258" s="33">
        <v>0</v>
      </c>
      <c r="AF258" s="33">
        <v>1180.37</v>
      </c>
      <c r="AG258" s="1">
        <v>0</v>
      </c>
      <c r="AH258" s="1">
        <v>2340.78</v>
      </c>
      <c r="AI258" s="1">
        <v>0</v>
      </c>
      <c r="AJ258" s="1">
        <v>10437.78</v>
      </c>
      <c r="AK258" s="1">
        <v>0</v>
      </c>
      <c r="AL258" s="1">
        <v>1180.37</v>
      </c>
      <c r="AM258" s="9">
        <f t="shared" si="62"/>
        <v>2272.46</v>
      </c>
      <c r="AN258" s="9">
        <f t="shared" si="63"/>
        <v>25813.159999999996</v>
      </c>
      <c r="AO258" s="248">
        <f t="shared" si="64"/>
        <v>28085.619999999995</v>
      </c>
      <c r="AP258" s="10"/>
      <c r="AQ258" s="10"/>
      <c r="AR258" s="10">
        <v>142.9</v>
      </c>
      <c r="AS258" s="10"/>
      <c r="AT258" s="163">
        <f t="shared" si="57"/>
        <v>28228.519999999997</v>
      </c>
      <c r="AU258" s="2"/>
      <c r="AV258" s="2">
        <f>E258*0.65+(E258*0.69)*3</f>
        <v>762.416</v>
      </c>
      <c r="AW258" s="168"/>
      <c r="AX258" s="21">
        <f t="shared" si="65"/>
        <v>-61712.935999999994</v>
      </c>
      <c r="AY258" s="26">
        <v>6843.77</v>
      </c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</row>
    <row r="259" spans="1:51" ht="15.75">
      <c r="A259" s="1">
        <v>251</v>
      </c>
      <c r="B259" s="1" t="s">
        <v>257</v>
      </c>
      <c r="C259" s="1">
        <v>4863.66</v>
      </c>
      <c r="D259" s="1">
        <v>0</v>
      </c>
      <c r="E259" s="1">
        <f t="shared" si="56"/>
        <v>4863.66</v>
      </c>
      <c r="F259" s="2">
        <v>14.97</v>
      </c>
      <c r="G259" s="2">
        <f t="shared" si="59"/>
        <v>72808.9902</v>
      </c>
      <c r="H259" s="2">
        <f t="shared" si="60"/>
        <v>436853.9412</v>
      </c>
      <c r="I259" s="2">
        <f t="shared" si="58"/>
        <v>14.97</v>
      </c>
      <c r="J259" s="2">
        <f aca="true" t="shared" si="68" ref="J259:J318">E259*I259</f>
        <v>72808.9902</v>
      </c>
      <c r="K259" s="2">
        <f t="shared" si="61"/>
        <v>436853.9412</v>
      </c>
      <c r="L259" s="13">
        <f t="shared" si="66"/>
        <v>873707.8824</v>
      </c>
      <c r="M259" s="139"/>
      <c r="N259" s="34">
        <f t="shared" si="67"/>
        <v>873707.8824</v>
      </c>
      <c r="O259" s="152">
        <v>98078.81</v>
      </c>
      <c r="P259" s="152">
        <v>18074.33</v>
      </c>
      <c r="Q259" s="1">
        <v>13674.71</v>
      </c>
      <c r="R259" s="1">
        <v>22080.04</v>
      </c>
      <c r="S259" s="1">
        <v>57010</v>
      </c>
      <c r="T259" s="1">
        <v>26240.37</v>
      </c>
      <c r="U259" s="33">
        <v>23232.23</v>
      </c>
      <c r="V259" s="33">
        <v>14231.42</v>
      </c>
      <c r="W259" s="1">
        <v>20641.83</v>
      </c>
      <c r="X259" s="1">
        <v>20772.42</v>
      </c>
      <c r="Y259" s="1">
        <v>21953.36</v>
      </c>
      <c r="Z259" s="1">
        <v>12499.61</v>
      </c>
      <c r="AA259" s="33">
        <v>131480.75</v>
      </c>
      <c r="AB259" s="33">
        <v>19391.15</v>
      </c>
      <c r="AC259" s="33">
        <v>68855.77</v>
      </c>
      <c r="AD259" s="33">
        <v>13094.41</v>
      </c>
      <c r="AE259" s="33">
        <v>63821.54</v>
      </c>
      <c r="AF259" s="33">
        <v>37211.15</v>
      </c>
      <c r="AG259" s="1">
        <v>8949.13</v>
      </c>
      <c r="AH259" s="1">
        <v>23079.96</v>
      </c>
      <c r="AI259" s="1">
        <v>9965.93</v>
      </c>
      <c r="AJ259" s="1">
        <v>12499.61</v>
      </c>
      <c r="AK259" s="1">
        <v>16970.48</v>
      </c>
      <c r="AL259" s="1">
        <v>16034.4</v>
      </c>
      <c r="AM259" s="9">
        <f t="shared" si="62"/>
        <v>534634.54</v>
      </c>
      <c r="AN259" s="9">
        <f t="shared" si="63"/>
        <v>235208.86999999997</v>
      </c>
      <c r="AO259" s="248">
        <f t="shared" si="64"/>
        <v>769843.41</v>
      </c>
      <c r="AP259" s="10"/>
      <c r="AQ259" s="10">
        <f>246004.27-82242.84</f>
        <v>163761.43</v>
      </c>
      <c r="AR259" s="10"/>
      <c r="AS259" s="10"/>
      <c r="AT259" s="163">
        <f t="shared" si="57"/>
        <v>933604.8400000001</v>
      </c>
      <c r="AU259" s="2"/>
      <c r="AV259" s="2"/>
      <c r="AW259" s="168"/>
      <c r="AX259" s="21">
        <f t="shared" si="65"/>
        <v>-59896.95760000008</v>
      </c>
      <c r="AY259" s="26">
        <v>528878.03</v>
      </c>
    </row>
    <row r="260" spans="1:51" ht="15.75">
      <c r="A260" s="1">
        <v>252</v>
      </c>
      <c r="B260" s="1" t="s">
        <v>258</v>
      </c>
      <c r="C260" s="1">
        <v>839.2</v>
      </c>
      <c r="D260" s="1">
        <v>0</v>
      </c>
      <c r="E260" s="1">
        <f>C260+D260</f>
        <v>839.2</v>
      </c>
      <c r="F260" s="2">
        <v>13.07</v>
      </c>
      <c r="G260" s="2">
        <f t="shared" si="59"/>
        <v>10968.344000000001</v>
      </c>
      <c r="H260" s="2">
        <f t="shared" si="60"/>
        <v>65810.06400000001</v>
      </c>
      <c r="I260" s="2">
        <f t="shared" si="58"/>
        <v>13.07</v>
      </c>
      <c r="J260" s="2">
        <f t="shared" si="68"/>
        <v>10968.344000000001</v>
      </c>
      <c r="K260" s="2">
        <f t="shared" si="61"/>
        <v>65810.06400000001</v>
      </c>
      <c r="L260" s="13">
        <f t="shared" si="66"/>
        <v>131620.12800000003</v>
      </c>
      <c r="M260" s="139"/>
      <c r="N260" s="34">
        <f t="shared" si="67"/>
        <v>131620.12800000003</v>
      </c>
      <c r="O260" s="152">
        <v>0</v>
      </c>
      <c r="P260" s="152">
        <v>24628.75</v>
      </c>
      <c r="Q260" s="1">
        <v>0</v>
      </c>
      <c r="R260" s="1">
        <v>26824.99</v>
      </c>
      <c r="S260" s="1">
        <v>0</v>
      </c>
      <c r="T260" s="1">
        <v>4195.03</v>
      </c>
      <c r="U260" s="33">
        <v>0</v>
      </c>
      <c r="V260" s="33">
        <v>2966.74</v>
      </c>
      <c r="W260" s="1">
        <v>0</v>
      </c>
      <c r="X260" s="1">
        <v>2386.74</v>
      </c>
      <c r="Y260" s="1">
        <v>0</v>
      </c>
      <c r="Z260" s="1">
        <v>2386.74</v>
      </c>
      <c r="AA260" s="33">
        <v>0</v>
      </c>
      <c r="AB260" s="33">
        <v>6662.97</v>
      </c>
      <c r="AC260" s="33">
        <v>0</v>
      </c>
      <c r="AD260" s="33">
        <v>5656.74</v>
      </c>
      <c r="AE260" s="33">
        <v>0</v>
      </c>
      <c r="AF260" s="33">
        <v>19041.46</v>
      </c>
      <c r="AG260" s="1">
        <v>0</v>
      </c>
      <c r="AH260" s="1">
        <v>3547.15</v>
      </c>
      <c r="AI260" s="1">
        <v>0</v>
      </c>
      <c r="AJ260" s="1">
        <v>2386.74</v>
      </c>
      <c r="AK260" s="1">
        <v>0</v>
      </c>
      <c r="AL260" s="1">
        <v>2756.35</v>
      </c>
      <c r="AM260" s="9">
        <f t="shared" si="62"/>
        <v>0</v>
      </c>
      <c r="AN260" s="9">
        <f t="shared" si="63"/>
        <v>103440.40000000001</v>
      </c>
      <c r="AO260" s="248">
        <f t="shared" si="64"/>
        <v>103440.40000000001</v>
      </c>
      <c r="AP260" s="10"/>
      <c r="AQ260" s="10">
        <f>6211-4786.99</f>
        <v>1424.0100000000002</v>
      </c>
      <c r="AR260" s="12"/>
      <c r="AS260" s="10"/>
      <c r="AT260" s="163">
        <f t="shared" si="57"/>
        <v>104864.41</v>
      </c>
      <c r="AU260" s="2"/>
      <c r="AV260" s="2"/>
      <c r="AW260" s="168"/>
      <c r="AX260" s="21">
        <f t="shared" si="65"/>
        <v>26755.718000000023</v>
      </c>
      <c r="AY260" s="26">
        <v>14381.34</v>
      </c>
    </row>
    <row r="261" spans="1:51" ht="15.75">
      <c r="A261" s="1">
        <v>253</v>
      </c>
      <c r="B261" s="1" t="s">
        <v>259</v>
      </c>
      <c r="C261" s="1">
        <v>497.8</v>
      </c>
      <c r="D261" s="1">
        <v>0</v>
      </c>
      <c r="E261" s="1">
        <f>C261+D261</f>
        <v>497.8</v>
      </c>
      <c r="F261" s="2">
        <v>13</v>
      </c>
      <c r="G261" s="2">
        <f t="shared" si="59"/>
        <v>6471.400000000001</v>
      </c>
      <c r="H261" s="2">
        <f t="shared" si="60"/>
        <v>38828.4</v>
      </c>
      <c r="I261" s="2">
        <f t="shared" si="58"/>
        <v>13</v>
      </c>
      <c r="J261" s="2">
        <f t="shared" si="68"/>
        <v>6471.400000000001</v>
      </c>
      <c r="K261" s="2">
        <f t="shared" si="61"/>
        <v>38828.4</v>
      </c>
      <c r="L261" s="13">
        <f t="shared" si="66"/>
        <v>77656.8</v>
      </c>
      <c r="M261" s="139">
        <v>-5395.18</v>
      </c>
      <c r="N261" s="34">
        <f t="shared" si="67"/>
        <v>72261.62</v>
      </c>
      <c r="O261" s="152">
        <v>0</v>
      </c>
      <c r="P261" s="152">
        <v>1278.06</v>
      </c>
      <c r="Q261" s="1">
        <v>0</v>
      </c>
      <c r="R261" s="1">
        <v>4332.84</v>
      </c>
      <c r="S261" s="1">
        <v>0</v>
      </c>
      <c r="T261" s="1">
        <v>22595.7</v>
      </c>
      <c r="U261" s="33">
        <v>0</v>
      </c>
      <c r="V261" s="33">
        <v>1858.06</v>
      </c>
      <c r="W261" s="1">
        <v>0</v>
      </c>
      <c r="X261" s="1">
        <v>1278.06</v>
      </c>
      <c r="Y261" s="1">
        <v>0</v>
      </c>
      <c r="Z261" s="1">
        <v>1278.06</v>
      </c>
      <c r="AA261" s="33">
        <v>0</v>
      </c>
      <c r="AB261" s="33">
        <v>2517.06</v>
      </c>
      <c r="AC261" s="33">
        <v>0</v>
      </c>
      <c r="AD261" s="33">
        <v>4548.06</v>
      </c>
      <c r="AE261" s="33">
        <v>0</v>
      </c>
      <c r="AF261" s="33">
        <v>5847.58</v>
      </c>
      <c r="AG261" s="1">
        <v>0</v>
      </c>
      <c r="AH261" s="1">
        <v>51038.47</v>
      </c>
      <c r="AI261" s="1">
        <v>0</v>
      </c>
      <c r="AJ261" s="1">
        <v>1837.59</v>
      </c>
      <c r="AK261" s="1">
        <v>0</v>
      </c>
      <c r="AL261" s="1">
        <v>7567.47</v>
      </c>
      <c r="AM261" s="9">
        <f t="shared" si="62"/>
        <v>0</v>
      </c>
      <c r="AN261" s="9">
        <f t="shared" si="63"/>
        <v>105977.01000000001</v>
      </c>
      <c r="AO261" s="248">
        <f t="shared" si="64"/>
        <v>105977.01000000001</v>
      </c>
      <c r="AP261" s="10"/>
      <c r="AQ261" s="10"/>
      <c r="AR261" s="10"/>
      <c r="AS261" s="10"/>
      <c r="AT261" s="163">
        <f t="shared" si="57"/>
        <v>105977.01000000001</v>
      </c>
      <c r="AU261" s="2"/>
      <c r="AV261" s="2"/>
      <c r="AW261" s="168"/>
      <c r="AX261" s="21">
        <f t="shared" si="65"/>
        <v>-33715.390000000014</v>
      </c>
      <c r="AY261" s="26">
        <v>15417.19</v>
      </c>
    </row>
    <row r="262" spans="1:51" ht="15.75">
      <c r="A262" s="1">
        <v>254</v>
      </c>
      <c r="B262" s="101" t="s">
        <v>465</v>
      </c>
      <c r="C262" s="1">
        <v>494.2</v>
      </c>
      <c r="D262" s="1">
        <v>0</v>
      </c>
      <c r="E262" s="1">
        <v>494.2</v>
      </c>
      <c r="F262" s="2">
        <v>9.16</v>
      </c>
      <c r="G262" s="2">
        <f t="shared" si="59"/>
        <v>4526.872</v>
      </c>
      <c r="H262" s="169">
        <f>G262*6</f>
        <v>27161.232000000004</v>
      </c>
      <c r="I262" s="169">
        <v>9.16</v>
      </c>
      <c r="J262" s="169">
        <f t="shared" si="68"/>
        <v>4526.872</v>
      </c>
      <c r="K262" s="168">
        <f>J262*1</f>
        <v>4526.872</v>
      </c>
      <c r="L262" s="13">
        <f t="shared" si="66"/>
        <v>31688.104000000003</v>
      </c>
      <c r="M262" s="139">
        <v>-129491.98</v>
      </c>
      <c r="N262" s="34">
        <f t="shared" si="67"/>
        <v>-97803.87599999999</v>
      </c>
      <c r="O262" s="152">
        <v>0</v>
      </c>
      <c r="P262" s="152">
        <v>1500.09</v>
      </c>
      <c r="Q262" s="1">
        <v>0</v>
      </c>
      <c r="R262" s="1">
        <v>1500.09</v>
      </c>
      <c r="S262" s="1">
        <v>0</v>
      </c>
      <c r="T262" s="1">
        <v>1500.09</v>
      </c>
      <c r="U262" s="33">
        <v>0</v>
      </c>
      <c r="V262" s="33">
        <v>1500.09</v>
      </c>
      <c r="W262" s="1">
        <v>0</v>
      </c>
      <c r="X262" s="1">
        <v>0</v>
      </c>
      <c r="Y262" s="1">
        <v>0</v>
      </c>
      <c r="Z262" s="1">
        <v>0</v>
      </c>
      <c r="AA262" s="152">
        <v>0</v>
      </c>
      <c r="AB262" s="152">
        <v>0</v>
      </c>
      <c r="AC262" s="184">
        <v>0</v>
      </c>
      <c r="AD262" s="184">
        <v>0</v>
      </c>
      <c r="AE262" s="184">
        <v>0</v>
      </c>
      <c r="AF262" s="184">
        <v>0</v>
      </c>
      <c r="AG262" s="183">
        <v>0</v>
      </c>
      <c r="AH262" s="183">
        <v>0</v>
      </c>
      <c r="AI262" s="183">
        <v>0</v>
      </c>
      <c r="AJ262" s="183">
        <v>0</v>
      </c>
      <c r="AK262" s="183">
        <v>0</v>
      </c>
      <c r="AL262" s="183">
        <v>0</v>
      </c>
      <c r="AM262" s="9">
        <f t="shared" si="62"/>
        <v>0</v>
      </c>
      <c r="AN262" s="9">
        <f t="shared" si="63"/>
        <v>6000.36</v>
      </c>
      <c r="AO262" s="248">
        <f t="shared" si="64"/>
        <v>6000.36</v>
      </c>
      <c r="AP262" s="10"/>
      <c r="AQ262" s="10"/>
      <c r="AR262" s="10"/>
      <c r="AS262" s="10"/>
      <c r="AT262" s="163">
        <f t="shared" si="57"/>
        <v>6000.36</v>
      </c>
      <c r="AU262" s="2"/>
      <c r="AV262" s="2"/>
      <c r="AW262" s="168"/>
      <c r="AX262" s="21">
        <f t="shared" si="65"/>
        <v>-103804.23599999999</v>
      </c>
      <c r="AY262" s="189">
        <v>2699.27</v>
      </c>
    </row>
    <row r="263" spans="1:51" ht="15.75">
      <c r="A263" s="1">
        <v>255</v>
      </c>
      <c r="B263" s="1" t="s">
        <v>260</v>
      </c>
      <c r="C263" s="1">
        <v>465.2</v>
      </c>
      <c r="D263" s="1">
        <v>0</v>
      </c>
      <c r="E263" s="1">
        <f>C263+D263</f>
        <v>465.2</v>
      </c>
      <c r="F263" s="2">
        <v>9.16</v>
      </c>
      <c r="G263" s="2">
        <f t="shared" si="59"/>
        <v>4261.232</v>
      </c>
      <c r="H263" s="2">
        <f t="shared" si="60"/>
        <v>25567.392</v>
      </c>
      <c r="I263" s="2">
        <f t="shared" si="58"/>
        <v>9.16</v>
      </c>
      <c r="J263" s="2">
        <f t="shared" si="68"/>
        <v>4261.232</v>
      </c>
      <c r="K263" s="2">
        <f t="shared" si="61"/>
        <v>25567.392</v>
      </c>
      <c r="L263" s="13">
        <f t="shared" si="66"/>
        <v>51134.784</v>
      </c>
      <c r="M263" s="139"/>
      <c r="N263" s="34">
        <f t="shared" si="67"/>
        <v>51134.784</v>
      </c>
      <c r="O263" s="152">
        <v>0</v>
      </c>
      <c r="P263" s="152">
        <v>1986.4</v>
      </c>
      <c r="Q263" s="1">
        <v>0</v>
      </c>
      <c r="R263" s="1">
        <v>404.72</v>
      </c>
      <c r="S263" s="1">
        <v>0</v>
      </c>
      <c r="T263" s="1">
        <v>4968.02</v>
      </c>
      <c r="U263" s="33">
        <v>0</v>
      </c>
      <c r="V263" s="33">
        <v>1775.56</v>
      </c>
      <c r="W263" s="1">
        <v>0</v>
      </c>
      <c r="X263" s="1">
        <v>1195.56</v>
      </c>
      <c r="Y263" s="1">
        <v>0</v>
      </c>
      <c r="Z263" s="1">
        <v>1195.56</v>
      </c>
      <c r="AA263" s="33">
        <v>0</v>
      </c>
      <c r="AB263" s="33">
        <v>36595.56</v>
      </c>
      <c r="AC263" s="33">
        <v>0</v>
      </c>
      <c r="AD263" s="33">
        <v>15920.56</v>
      </c>
      <c r="AE263" s="33">
        <v>0</v>
      </c>
      <c r="AF263" s="33">
        <v>1195.56</v>
      </c>
      <c r="AG263" s="1">
        <v>0</v>
      </c>
      <c r="AH263" s="1">
        <v>2355.97</v>
      </c>
      <c r="AI263" s="1">
        <v>0</v>
      </c>
      <c r="AJ263" s="1">
        <v>1195.56</v>
      </c>
      <c r="AK263" s="1">
        <v>0</v>
      </c>
      <c r="AL263" s="1">
        <v>1195.56</v>
      </c>
      <c r="AM263" s="9">
        <f t="shared" si="62"/>
        <v>0</v>
      </c>
      <c r="AN263" s="9">
        <f t="shared" si="63"/>
        <v>69984.58999999998</v>
      </c>
      <c r="AO263" s="248">
        <f t="shared" si="64"/>
        <v>69984.58999999998</v>
      </c>
      <c r="AP263" s="10"/>
      <c r="AQ263" s="10"/>
      <c r="AR263" s="10"/>
      <c r="AS263" s="10"/>
      <c r="AT263" s="163">
        <f t="shared" si="57"/>
        <v>69984.58999999998</v>
      </c>
      <c r="AU263" s="2"/>
      <c r="AV263" s="2"/>
      <c r="AW263" s="168"/>
      <c r="AX263" s="21">
        <f t="shared" si="65"/>
        <v>-18849.805999999982</v>
      </c>
      <c r="AY263" s="26">
        <v>19999.91</v>
      </c>
    </row>
    <row r="264" spans="1:51" ht="15.75">
      <c r="A264" s="1">
        <v>256</v>
      </c>
      <c r="B264" s="1" t="s">
        <v>261</v>
      </c>
      <c r="C264" s="1">
        <v>781.2</v>
      </c>
      <c r="D264" s="1">
        <v>0</v>
      </c>
      <c r="E264" s="1">
        <f>C264+D264</f>
        <v>781.2</v>
      </c>
      <c r="F264" s="2">
        <v>13.07</v>
      </c>
      <c r="G264" s="2">
        <f t="shared" si="59"/>
        <v>10210.284000000001</v>
      </c>
      <c r="H264" s="2">
        <f t="shared" si="60"/>
        <v>61261.70400000001</v>
      </c>
      <c r="I264" s="2">
        <f t="shared" si="58"/>
        <v>13.07</v>
      </c>
      <c r="J264" s="2">
        <f t="shared" si="68"/>
        <v>10210.284000000001</v>
      </c>
      <c r="K264" s="2">
        <f t="shared" si="61"/>
        <v>61261.70400000001</v>
      </c>
      <c r="L264" s="13">
        <f t="shared" si="66"/>
        <v>122523.40800000002</v>
      </c>
      <c r="M264" s="139"/>
      <c r="N264" s="34">
        <f t="shared" si="67"/>
        <v>122523.40800000002</v>
      </c>
      <c r="O264" s="152">
        <v>0</v>
      </c>
      <c r="P264" s="152">
        <v>5335.49</v>
      </c>
      <c r="Q264" s="1">
        <v>0</v>
      </c>
      <c r="R264" s="1">
        <v>4668.91</v>
      </c>
      <c r="S264" s="1">
        <v>0</v>
      </c>
      <c r="T264" s="1">
        <v>3335.72</v>
      </c>
      <c r="U264" s="33">
        <v>0</v>
      </c>
      <c r="V264" s="33">
        <v>19428.25</v>
      </c>
      <c r="W264" s="1">
        <v>0</v>
      </c>
      <c r="X264" s="1">
        <v>17784.27</v>
      </c>
      <c r="Y264" s="1">
        <v>0</v>
      </c>
      <c r="Z264" s="1">
        <v>4476.28</v>
      </c>
      <c r="AA264" s="33">
        <v>0</v>
      </c>
      <c r="AB264" s="33">
        <v>5529.78</v>
      </c>
      <c r="AC264" s="33">
        <v>0</v>
      </c>
      <c r="AD264" s="33">
        <v>4476.28</v>
      </c>
      <c r="AE264" s="33">
        <v>0</v>
      </c>
      <c r="AF264" s="33">
        <v>4476.28</v>
      </c>
      <c r="AG264" s="1">
        <v>0</v>
      </c>
      <c r="AH264" s="1">
        <v>4496.13</v>
      </c>
      <c r="AI264" s="1">
        <v>0</v>
      </c>
      <c r="AJ264" s="1">
        <v>6911.23</v>
      </c>
      <c r="AK264" s="1">
        <v>0</v>
      </c>
      <c r="AL264" s="1">
        <v>3836.22</v>
      </c>
      <c r="AM264" s="9">
        <f t="shared" si="62"/>
        <v>0</v>
      </c>
      <c r="AN264" s="9">
        <f t="shared" si="63"/>
        <v>84754.84</v>
      </c>
      <c r="AO264" s="248">
        <f t="shared" si="64"/>
        <v>84754.84</v>
      </c>
      <c r="AP264" s="10"/>
      <c r="AQ264" s="10"/>
      <c r="AR264" s="10"/>
      <c r="AS264" s="10"/>
      <c r="AT264" s="163">
        <f t="shared" si="57"/>
        <v>84754.84</v>
      </c>
      <c r="AU264" s="2"/>
      <c r="AV264" s="2"/>
      <c r="AW264" s="168"/>
      <c r="AX264" s="21">
        <f t="shared" si="65"/>
        <v>37768.56800000003</v>
      </c>
      <c r="AY264" s="26">
        <v>283864.21</v>
      </c>
    </row>
    <row r="265" spans="1:51" ht="15.75">
      <c r="A265" s="1">
        <v>257</v>
      </c>
      <c r="B265" s="1" t="s">
        <v>262</v>
      </c>
      <c r="C265" s="1">
        <v>451.8</v>
      </c>
      <c r="D265" s="1"/>
      <c r="E265" s="1">
        <f aca="true" t="shared" si="69" ref="E265:E320">C265+D265</f>
        <v>451.8</v>
      </c>
      <c r="F265" s="2">
        <v>9.16</v>
      </c>
      <c r="G265" s="2">
        <f t="shared" si="59"/>
        <v>4138.488</v>
      </c>
      <c r="H265" s="2">
        <f t="shared" si="60"/>
        <v>24830.928</v>
      </c>
      <c r="I265" s="2">
        <f t="shared" si="58"/>
        <v>9.16</v>
      </c>
      <c r="J265" s="2">
        <f t="shared" si="68"/>
        <v>4138.488</v>
      </c>
      <c r="K265" s="2">
        <f t="shared" si="61"/>
        <v>24830.928</v>
      </c>
      <c r="L265" s="13">
        <f t="shared" si="66"/>
        <v>49661.856</v>
      </c>
      <c r="M265" s="139"/>
      <c r="N265" s="34">
        <f t="shared" si="67"/>
        <v>49661.856</v>
      </c>
      <c r="O265" s="152">
        <v>0</v>
      </c>
      <c r="P265" s="152">
        <v>2724.32</v>
      </c>
      <c r="Q265" s="1">
        <v>0</v>
      </c>
      <c r="R265" s="1">
        <v>2724.32</v>
      </c>
      <c r="S265" s="1">
        <v>0</v>
      </c>
      <c r="T265" s="1">
        <v>1391.13</v>
      </c>
      <c r="U265" s="33">
        <v>0</v>
      </c>
      <c r="V265" s="33">
        <v>4231.98</v>
      </c>
      <c r="W265" s="1">
        <v>0</v>
      </c>
      <c r="X265" s="1">
        <v>4330.86</v>
      </c>
      <c r="Y265" s="1">
        <v>0</v>
      </c>
      <c r="Z265" s="1">
        <v>1391.13</v>
      </c>
      <c r="AA265" s="33">
        <v>0</v>
      </c>
      <c r="AB265" s="33">
        <v>1391.13</v>
      </c>
      <c r="AC265" s="33">
        <v>0</v>
      </c>
      <c r="AD265" s="33">
        <v>3636.86</v>
      </c>
      <c r="AE265" s="33">
        <v>0</v>
      </c>
      <c r="AF265" s="33">
        <v>1391.13</v>
      </c>
      <c r="AG265" s="1">
        <v>0</v>
      </c>
      <c r="AH265" s="1">
        <v>2551.54</v>
      </c>
      <c r="AI265" s="1">
        <v>0</v>
      </c>
      <c r="AJ265" s="1">
        <v>1391.13</v>
      </c>
      <c r="AK265" s="1">
        <v>0</v>
      </c>
      <c r="AL265" s="1">
        <v>1391.13</v>
      </c>
      <c r="AM265" s="9">
        <f t="shared" si="62"/>
        <v>0</v>
      </c>
      <c r="AN265" s="9">
        <f t="shared" si="63"/>
        <v>28546.660000000007</v>
      </c>
      <c r="AO265" s="248">
        <f t="shared" si="64"/>
        <v>28546.660000000007</v>
      </c>
      <c r="AP265" s="10"/>
      <c r="AQ265" s="10"/>
      <c r="AR265" s="10"/>
      <c r="AS265" s="10"/>
      <c r="AT265" s="163">
        <f aca="true" t="shared" si="70" ref="AT265:AT320">AO265+AP265+AQ265+AR265+AS265</f>
        <v>28546.660000000007</v>
      </c>
      <c r="AU265" s="2"/>
      <c r="AV265" s="2"/>
      <c r="AW265" s="168">
        <v>13836</v>
      </c>
      <c r="AX265" s="21">
        <f t="shared" si="65"/>
        <v>34951.195999999996</v>
      </c>
      <c r="AY265" s="26">
        <v>39673.84</v>
      </c>
    </row>
    <row r="266" spans="1:51" ht="15.75">
      <c r="A266" s="1">
        <v>258</v>
      </c>
      <c r="B266" s="1" t="s">
        <v>263</v>
      </c>
      <c r="C266" s="1">
        <v>464.2</v>
      </c>
      <c r="D266" s="1">
        <v>0</v>
      </c>
      <c r="E266" s="1">
        <f t="shared" si="69"/>
        <v>464.2</v>
      </c>
      <c r="F266" s="2">
        <v>9.16</v>
      </c>
      <c r="G266" s="2">
        <f t="shared" si="59"/>
        <v>4252.072</v>
      </c>
      <c r="H266" s="2">
        <f t="shared" si="60"/>
        <v>25512.432</v>
      </c>
      <c r="I266" s="2">
        <f aca="true" t="shared" si="71" ref="I266:I320">F266*1</f>
        <v>9.16</v>
      </c>
      <c r="J266" s="2">
        <f t="shared" si="68"/>
        <v>4252.072</v>
      </c>
      <c r="K266" s="2">
        <f t="shared" si="61"/>
        <v>25512.432</v>
      </c>
      <c r="L266" s="13">
        <f t="shared" si="66"/>
        <v>51024.864</v>
      </c>
      <c r="M266" s="139">
        <v>-117321.16</v>
      </c>
      <c r="N266" s="34">
        <f t="shared" si="67"/>
        <v>-66296.296</v>
      </c>
      <c r="O266" s="152">
        <v>0</v>
      </c>
      <c r="P266" s="152">
        <v>20132.19</v>
      </c>
      <c r="Q266" s="1">
        <v>0</v>
      </c>
      <c r="R266" s="1">
        <v>2192.87</v>
      </c>
      <c r="S266" s="1">
        <v>0</v>
      </c>
      <c r="T266" s="1">
        <v>1192.99</v>
      </c>
      <c r="U266" s="33">
        <v>0</v>
      </c>
      <c r="V266" s="33">
        <v>4033.84</v>
      </c>
      <c r="W266" s="1">
        <v>0</v>
      </c>
      <c r="X266" s="1">
        <v>1192.99</v>
      </c>
      <c r="Y266" s="1">
        <v>0</v>
      </c>
      <c r="Z266" s="1">
        <v>1192.99</v>
      </c>
      <c r="AA266" s="33">
        <v>0</v>
      </c>
      <c r="AB266" s="33">
        <v>1192.99</v>
      </c>
      <c r="AC266" s="33">
        <v>0</v>
      </c>
      <c r="AD266" s="33">
        <v>1192.99</v>
      </c>
      <c r="AE266" s="33">
        <v>0</v>
      </c>
      <c r="AF266" s="33">
        <v>1192.99</v>
      </c>
      <c r="AG266" s="1">
        <v>0</v>
      </c>
      <c r="AH266" s="1">
        <v>2353.4</v>
      </c>
      <c r="AI266" s="1">
        <v>0</v>
      </c>
      <c r="AJ266" s="1">
        <v>1192.99</v>
      </c>
      <c r="AK266" s="1">
        <v>0</v>
      </c>
      <c r="AL266" s="1">
        <v>1192.99</v>
      </c>
      <c r="AM266" s="9">
        <f t="shared" si="62"/>
        <v>0</v>
      </c>
      <c r="AN266" s="9">
        <f t="shared" si="63"/>
        <v>38256.22</v>
      </c>
      <c r="AO266" s="248">
        <f t="shared" si="64"/>
        <v>38256.22</v>
      </c>
      <c r="AP266" s="10"/>
      <c r="AQ266" s="10"/>
      <c r="AR266" s="10"/>
      <c r="AS266" s="10"/>
      <c r="AT266" s="163">
        <f t="shared" si="70"/>
        <v>38256.22</v>
      </c>
      <c r="AU266" s="2"/>
      <c r="AV266" s="2"/>
      <c r="AW266" s="168">
        <v>17984</v>
      </c>
      <c r="AX266" s="21">
        <f t="shared" si="65"/>
        <v>-86568.516</v>
      </c>
      <c r="AY266" s="26">
        <v>203688.99</v>
      </c>
    </row>
    <row r="267" spans="1:51" ht="15.75">
      <c r="A267" s="1">
        <v>259</v>
      </c>
      <c r="B267" s="1" t="s">
        <v>355</v>
      </c>
      <c r="C267" s="1">
        <v>1593.8</v>
      </c>
      <c r="D267" s="1">
        <v>0</v>
      </c>
      <c r="E267" s="1">
        <f t="shared" si="69"/>
        <v>1593.8</v>
      </c>
      <c r="F267" s="2">
        <v>14.87</v>
      </c>
      <c r="G267" s="2">
        <f t="shared" si="59"/>
        <v>23699.805999999997</v>
      </c>
      <c r="H267" s="2">
        <f t="shared" si="60"/>
        <v>142198.83599999998</v>
      </c>
      <c r="I267" s="2">
        <f t="shared" si="71"/>
        <v>14.87</v>
      </c>
      <c r="J267" s="2">
        <f t="shared" si="68"/>
        <v>23699.805999999997</v>
      </c>
      <c r="K267" s="2">
        <f t="shared" si="61"/>
        <v>142198.83599999998</v>
      </c>
      <c r="L267" s="13">
        <f t="shared" si="66"/>
        <v>284397.67199999996</v>
      </c>
      <c r="M267" s="139"/>
      <c r="N267" s="34">
        <f t="shared" si="67"/>
        <v>284397.67199999996</v>
      </c>
      <c r="O267" s="152">
        <v>0</v>
      </c>
      <c r="P267" s="152">
        <v>12995.52</v>
      </c>
      <c r="Q267" s="1">
        <v>0</v>
      </c>
      <c r="R267" s="1">
        <v>7258.66</v>
      </c>
      <c r="S267" s="1">
        <v>0</v>
      </c>
      <c r="T267" s="1">
        <v>59155.72</v>
      </c>
      <c r="U267" s="33">
        <v>0</v>
      </c>
      <c r="V267" s="33">
        <v>8418.66</v>
      </c>
      <c r="W267" s="1">
        <v>0</v>
      </c>
      <c r="X267" s="1">
        <v>15506.63</v>
      </c>
      <c r="Y267" s="1">
        <v>0</v>
      </c>
      <c r="Z267" s="1">
        <v>38121.05</v>
      </c>
      <c r="AA267" s="33">
        <v>0</v>
      </c>
      <c r="AB267" s="33">
        <v>29862.33</v>
      </c>
      <c r="AC267" s="33">
        <v>0</v>
      </c>
      <c r="AD267" s="33">
        <v>10573.76</v>
      </c>
      <c r="AE267" s="33">
        <v>0</v>
      </c>
      <c r="AF267" s="33">
        <v>10979.49</v>
      </c>
      <c r="AG267" s="1">
        <v>0</v>
      </c>
      <c r="AH267" s="1">
        <v>9370.2</v>
      </c>
      <c r="AI267" s="1">
        <v>0</v>
      </c>
      <c r="AJ267" s="1">
        <v>15455.24</v>
      </c>
      <c r="AK267" s="1">
        <v>0</v>
      </c>
      <c r="AL267" s="1">
        <v>10343.04</v>
      </c>
      <c r="AM267" s="9">
        <f t="shared" si="62"/>
        <v>0</v>
      </c>
      <c r="AN267" s="9">
        <f t="shared" si="63"/>
        <v>228040.30000000002</v>
      </c>
      <c r="AO267" s="248">
        <f t="shared" si="64"/>
        <v>228040.30000000002</v>
      </c>
      <c r="AP267" s="10"/>
      <c r="AQ267" s="10"/>
      <c r="AR267" s="10">
        <v>812.56</v>
      </c>
      <c r="AS267" s="10"/>
      <c r="AT267" s="163">
        <f t="shared" si="70"/>
        <v>228852.86000000002</v>
      </c>
      <c r="AU267" s="2"/>
      <c r="AV267" s="2"/>
      <c r="AW267" s="168">
        <v>4128</v>
      </c>
      <c r="AX267" s="21">
        <f t="shared" si="65"/>
        <v>59672.81199999995</v>
      </c>
      <c r="AY267" s="26">
        <v>627719.8</v>
      </c>
    </row>
    <row r="268" spans="1:51" ht="15.75">
      <c r="A268" s="1">
        <v>260</v>
      </c>
      <c r="B268" s="1" t="s">
        <v>264</v>
      </c>
      <c r="C268" s="1">
        <v>906.8</v>
      </c>
      <c r="D268" s="1">
        <v>0</v>
      </c>
      <c r="E268" s="1">
        <f t="shared" si="69"/>
        <v>906.8</v>
      </c>
      <c r="F268" s="2">
        <v>14.63</v>
      </c>
      <c r="G268" s="2">
        <f t="shared" si="59"/>
        <v>13266.484</v>
      </c>
      <c r="H268" s="2">
        <f t="shared" si="60"/>
        <v>79598.90400000001</v>
      </c>
      <c r="I268" s="2">
        <f t="shared" si="71"/>
        <v>14.63</v>
      </c>
      <c r="J268" s="2">
        <f t="shared" si="68"/>
        <v>13266.484</v>
      </c>
      <c r="K268" s="2">
        <f t="shared" si="61"/>
        <v>79598.90400000001</v>
      </c>
      <c r="L268" s="13">
        <f t="shared" si="66"/>
        <v>159197.80800000002</v>
      </c>
      <c r="M268" s="139"/>
      <c r="N268" s="34">
        <f t="shared" si="67"/>
        <v>159197.80800000002</v>
      </c>
      <c r="O268" s="152">
        <v>0</v>
      </c>
      <c r="P268" s="152">
        <v>2560.48</v>
      </c>
      <c r="Q268" s="1">
        <v>0</v>
      </c>
      <c r="R268" s="1">
        <v>2560.48</v>
      </c>
      <c r="S268" s="1">
        <v>0</v>
      </c>
      <c r="T268" s="1">
        <v>4494.1</v>
      </c>
      <c r="U268" s="33">
        <v>0</v>
      </c>
      <c r="V268" s="33">
        <v>3720.48</v>
      </c>
      <c r="W268" s="1">
        <v>0</v>
      </c>
      <c r="X268" s="1">
        <v>2560.48</v>
      </c>
      <c r="Y268" s="1">
        <v>0</v>
      </c>
      <c r="Z268" s="1">
        <v>7154.84</v>
      </c>
      <c r="AA268" s="33">
        <v>0</v>
      </c>
      <c r="AB268" s="33">
        <v>9731.86</v>
      </c>
      <c r="AC268" s="33">
        <v>0</v>
      </c>
      <c r="AD268" s="33">
        <v>4416.08</v>
      </c>
      <c r="AE268" s="33">
        <v>0</v>
      </c>
      <c r="AF268" s="33">
        <v>53583.92</v>
      </c>
      <c r="AG268" s="1">
        <v>0</v>
      </c>
      <c r="AH268" s="1">
        <v>3720.89</v>
      </c>
      <c r="AI268" s="1">
        <v>0</v>
      </c>
      <c r="AJ268" s="1">
        <v>4807.52</v>
      </c>
      <c r="AK268" s="1">
        <v>0</v>
      </c>
      <c r="AL268" s="1">
        <v>21476.84</v>
      </c>
      <c r="AM268" s="9">
        <f t="shared" si="62"/>
        <v>0</v>
      </c>
      <c r="AN268" s="9">
        <f t="shared" si="63"/>
        <v>120787.97</v>
      </c>
      <c r="AO268" s="248">
        <f t="shared" si="64"/>
        <v>120787.97</v>
      </c>
      <c r="AP268" s="10"/>
      <c r="AQ268" s="10"/>
      <c r="AR268" s="10"/>
      <c r="AS268" s="10"/>
      <c r="AT268" s="163">
        <f t="shared" si="70"/>
        <v>120787.97</v>
      </c>
      <c r="AU268" s="2"/>
      <c r="AV268" s="2"/>
      <c r="AW268" s="168">
        <v>6536</v>
      </c>
      <c r="AX268" s="21">
        <f t="shared" si="65"/>
        <v>44945.83800000002</v>
      </c>
      <c r="AY268" s="26">
        <v>14537.71</v>
      </c>
    </row>
    <row r="269" spans="1:51" ht="15.75">
      <c r="A269" s="1">
        <v>261</v>
      </c>
      <c r="B269" s="1" t="s">
        <v>265</v>
      </c>
      <c r="C269" s="1">
        <v>511.9</v>
      </c>
      <c r="D269" s="1">
        <v>0</v>
      </c>
      <c r="E269" s="1">
        <f t="shared" si="69"/>
        <v>511.9</v>
      </c>
      <c r="F269" s="2">
        <v>14.48</v>
      </c>
      <c r="G269" s="2">
        <f t="shared" si="59"/>
        <v>7412.312</v>
      </c>
      <c r="H269" s="2">
        <f t="shared" si="60"/>
        <v>44473.872</v>
      </c>
      <c r="I269" s="2">
        <f t="shared" si="71"/>
        <v>14.48</v>
      </c>
      <c r="J269" s="2">
        <f t="shared" si="68"/>
        <v>7412.312</v>
      </c>
      <c r="K269" s="2">
        <f t="shared" si="61"/>
        <v>44473.872</v>
      </c>
      <c r="L269" s="13">
        <f t="shared" si="66"/>
        <v>88947.744</v>
      </c>
      <c r="M269" s="139"/>
      <c r="N269" s="34">
        <f t="shared" si="67"/>
        <v>88947.744</v>
      </c>
      <c r="O269" s="152">
        <v>0</v>
      </c>
      <c r="P269" s="152">
        <v>2415.81</v>
      </c>
      <c r="Q269" s="1">
        <v>0</v>
      </c>
      <c r="R269" s="1">
        <v>35219.69</v>
      </c>
      <c r="S269" s="1">
        <v>0</v>
      </c>
      <c r="T269" s="1">
        <v>4349.43</v>
      </c>
      <c r="U269" s="33">
        <v>0</v>
      </c>
      <c r="V269" s="33">
        <v>16877.53</v>
      </c>
      <c r="W269" s="1">
        <v>0</v>
      </c>
      <c r="X269" s="1">
        <v>4977.4</v>
      </c>
      <c r="Y269" s="1">
        <v>0</v>
      </c>
      <c r="Z269" s="1">
        <v>7757.55</v>
      </c>
      <c r="AA269" s="33">
        <v>0</v>
      </c>
      <c r="AB269" s="33">
        <v>11406.23</v>
      </c>
      <c r="AC269" s="33">
        <v>0</v>
      </c>
      <c r="AD269" s="33">
        <v>3163.19</v>
      </c>
      <c r="AE269" s="33">
        <v>0</v>
      </c>
      <c r="AF269" s="33">
        <v>3163.19</v>
      </c>
      <c r="AG269" s="1">
        <v>0</v>
      </c>
      <c r="AH269" s="1">
        <v>3576.22</v>
      </c>
      <c r="AI269" s="1">
        <v>0</v>
      </c>
      <c r="AJ269" s="1">
        <v>2415.81</v>
      </c>
      <c r="AK269" s="1">
        <v>0</v>
      </c>
      <c r="AL269" s="1">
        <v>2804.8</v>
      </c>
      <c r="AM269" s="9">
        <f t="shared" si="62"/>
        <v>0</v>
      </c>
      <c r="AN269" s="9">
        <f t="shared" si="63"/>
        <v>98126.85</v>
      </c>
      <c r="AO269" s="248">
        <f t="shared" si="64"/>
        <v>98126.85</v>
      </c>
      <c r="AP269" s="10"/>
      <c r="AQ269" s="10"/>
      <c r="AR269" s="10"/>
      <c r="AS269" s="10"/>
      <c r="AT269" s="163">
        <f t="shared" si="70"/>
        <v>98126.85</v>
      </c>
      <c r="AU269" s="2"/>
      <c r="AV269" s="2"/>
      <c r="AW269" s="168">
        <v>6536</v>
      </c>
      <c r="AX269" s="21">
        <f t="shared" si="65"/>
        <v>-2643.1059999999998</v>
      </c>
      <c r="AY269" s="26">
        <v>10733.11</v>
      </c>
    </row>
    <row r="270" spans="1:51" ht="15.75">
      <c r="A270" s="1">
        <v>262</v>
      </c>
      <c r="B270" s="1" t="s">
        <v>266</v>
      </c>
      <c r="C270" s="1">
        <v>1345.9</v>
      </c>
      <c r="D270" s="1">
        <v>0</v>
      </c>
      <c r="E270" s="1">
        <f t="shared" si="69"/>
        <v>1345.9</v>
      </c>
      <c r="F270" s="2">
        <v>14.87</v>
      </c>
      <c r="G270" s="2">
        <f t="shared" si="59"/>
        <v>20013.533</v>
      </c>
      <c r="H270" s="2">
        <f t="shared" si="60"/>
        <v>120081.198</v>
      </c>
      <c r="I270" s="2">
        <f t="shared" si="71"/>
        <v>14.87</v>
      </c>
      <c r="J270" s="2">
        <f t="shared" si="68"/>
        <v>20013.533</v>
      </c>
      <c r="K270" s="2">
        <f t="shared" si="61"/>
        <v>120081.198</v>
      </c>
      <c r="L270" s="13">
        <f t="shared" si="66"/>
        <v>240162.396</v>
      </c>
      <c r="M270" s="139"/>
      <c r="N270" s="34">
        <f t="shared" si="67"/>
        <v>240162.396</v>
      </c>
      <c r="O270" s="152">
        <v>22582.24</v>
      </c>
      <c r="P270" s="152">
        <v>3688.96</v>
      </c>
      <c r="Q270" s="1">
        <v>25244.54</v>
      </c>
      <c r="R270" s="1">
        <v>3688.96</v>
      </c>
      <c r="S270" s="1">
        <v>2382.24</v>
      </c>
      <c r="T270" s="1">
        <v>3688.96</v>
      </c>
      <c r="U270" s="33">
        <v>18016.7</v>
      </c>
      <c r="V270" s="33">
        <v>4848.96</v>
      </c>
      <c r="W270" s="1">
        <v>5275.93</v>
      </c>
      <c r="X270" s="1">
        <v>8946.45</v>
      </c>
      <c r="Y270" s="1">
        <v>5275.93</v>
      </c>
      <c r="Z270" s="1">
        <v>3688.96</v>
      </c>
      <c r="AA270" s="33">
        <v>5275.93</v>
      </c>
      <c r="AB270" s="33">
        <v>10580.5</v>
      </c>
      <c r="AC270" s="33">
        <v>5695.93</v>
      </c>
      <c r="AD270" s="33">
        <v>19853.32</v>
      </c>
      <c r="AE270" s="33">
        <v>12299.66</v>
      </c>
      <c r="AF270" s="33">
        <v>3688.96</v>
      </c>
      <c r="AG270" s="1">
        <v>2476.46</v>
      </c>
      <c r="AH270" s="1">
        <v>5719.48</v>
      </c>
      <c r="AI270" s="1">
        <v>2476.46</v>
      </c>
      <c r="AJ270" s="1">
        <v>3688.96</v>
      </c>
      <c r="AK270" s="1">
        <v>5828.93</v>
      </c>
      <c r="AL270" s="1">
        <v>3688.96</v>
      </c>
      <c r="AM270" s="9">
        <f t="shared" si="62"/>
        <v>112830.94999999998</v>
      </c>
      <c r="AN270" s="9">
        <f t="shared" si="63"/>
        <v>75771.43000000001</v>
      </c>
      <c r="AO270" s="248">
        <f t="shared" si="64"/>
        <v>188602.38</v>
      </c>
      <c r="AP270" s="10"/>
      <c r="AQ270" s="10"/>
      <c r="AR270" s="10">
        <v>686.18</v>
      </c>
      <c r="AS270" s="10"/>
      <c r="AT270" s="163">
        <f t="shared" si="70"/>
        <v>189288.56</v>
      </c>
      <c r="AU270" s="2"/>
      <c r="AV270" s="2"/>
      <c r="AW270" s="168">
        <v>4128</v>
      </c>
      <c r="AX270" s="21">
        <f t="shared" si="65"/>
        <v>55001.83600000001</v>
      </c>
      <c r="AY270" s="26">
        <v>528140.46</v>
      </c>
    </row>
    <row r="271" spans="1:51" ht="15.75">
      <c r="A271" s="1">
        <v>263</v>
      </c>
      <c r="B271" s="1" t="s">
        <v>267</v>
      </c>
      <c r="C271" s="1">
        <v>959.8</v>
      </c>
      <c r="D271" s="1">
        <v>0</v>
      </c>
      <c r="E271" s="1">
        <f t="shared" si="69"/>
        <v>959.8</v>
      </c>
      <c r="F271" s="2">
        <v>11.18</v>
      </c>
      <c r="G271" s="2">
        <f t="shared" si="59"/>
        <v>10730.563999999998</v>
      </c>
      <c r="H271" s="2">
        <f t="shared" si="60"/>
        <v>64383.38399999999</v>
      </c>
      <c r="I271" s="2">
        <f t="shared" si="71"/>
        <v>11.18</v>
      </c>
      <c r="J271" s="2">
        <f t="shared" si="68"/>
        <v>10730.563999999998</v>
      </c>
      <c r="K271" s="2">
        <f t="shared" si="61"/>
        <v>64383.38399999999</v>
      </c>
      <c r="L271" s="13">
        <f t="shared" si="66"/>
        <v>128766.76799999998</v>
      </c>
      <c r="M271" s="139"/>
      <c r="N271" s="34">
        <f t="shared" si="67"/>
        <v>128766.76799999998</v>
      </c>
      <c r="O271" s="152">
        <v>0</v>
      </c>
      <c r="P271" s="152">
        <v>2696.69</v>
      </c>
      <c r="Q271" s="1">
        <v>0</v>
      </c>
      <c r="R271" s="1">
        <v>2696.69</v>
      </c>
      <c r="S271" s="1">
        <v>0</v>
      </c>
      <c r="T271" s="1">
        <v>2696.69</v>
      </c>
      <c r="U271" s="33">
        <v>0</v>
      </c>
      <c r="V271" s="33">
        <v>3856.69</v>
      </c>
      <c r="W271" s="1">
        <v>0</v>
      </c>
      <c r="X271" s="1">
        <v>12228.77</v>
      </c>
      <c r="Y271" s="1">
        <v>0</v>
      </c>
      <c r="Z271" s="1">
        <v>4504.33</v>
      </c>
      <c r="AA271" s="33">
        <v>0</v>
      </c>
      <c r="AB271" s="33">
        <v>9588.23</v>
      </c>
      <c r="AC271" s="33">
        <v>0</v>
      </c>
      <c r="AD271" s="33">
        <v>125805.44</v>
      </c>
      <c r="AE271" s="33">
        <v>0</v>
      </c>
      <c r="AF271" s="33">
        <v>29128.96</v>
      </c>
      <c r="AG271" s="1">
        <v>0</v>
      </c>
      <c r="AH271" s="1">
        <v>3857.1</v>
      </c>
      <c r="AI271" s="1">
        <v>0</v>
      </c>
      <c r="AJ271" s="1">
        <v>3191.69</v>
      </c>
      <c r="AK271" s="1">
        <v>0</v>
      </c>
      <c r="AL271" s="1">
        <v>4268.44</v>
      </c>
      <c r="AM271" s="9">
        <f t="shared" si="62"/>
        <v>0</v>
      </c>
      <c r="AN271" s="9">
        <f t="shared" si="63"/>
        <v>204519.72</v>
      </c>
      <c r="AO271" s="248">
        <f t="shared" si="64"/>
        <v>204519.72</v>
      </c>
      <c r="AP271" s="10"/>
      <c r="AQ271" s="10"/>
      <c r="AR271" s="10"/>
      <c r="AS271" s="10"/>
      <c r="AT271" s="163">
        <f t="shared" si="70"/>
        <v>204519.72</v>
      </c>
      <c r="AU271" s="2"/>
      <c r="AV271" s="2"/>
      <c r="AW271" s="168">
        <v>4128</v>
      </c>
      <c r="AX271" s="21">
        <f t="shared" si="65"/>
        <v>-71624.95200000002</v>
      </c>
      <c r="AY271" s="26">
        <v>14785.21</v>
      </c>
    </row>
    <row r="272" spans="1:51" ht="15.75">
      <c r="A272" s="1">
        <v>264</v>
      </c>
      <c r="B272" s="1" t="s">
        <v>268</v>
      </c>
      <c r="C272" s="1">
        <v>745.2</v>
      </c>
      <c r="D272" s="1">
        <v>0</v>
      </c>
      <c r="E272" s="1">
        <f t="shared" si="69"/>
        <v>745.2</v>
      </c>
      <c r="F272" s="169">
        <v>14.87</v>
      </c>
      <c r="G272" s="2">
        <f t="shared" si="59"/>
        <v>11081.124</v>
      </c>
      <c r="H272" s="2">
        <f t="shared" si="60"/>
        <v>66486.744</v>
      </c>
      <c r="I272" s="2">
        <f t="shared" si="71"/>
        <v>14.87</v>
      </c>
      <c r="J272" s="2">
        <f t="shared" si="68"/>
        <v>11081.124</v>
      </c>
      <c r="K272" s="2">
        <f t="shared" si="61"/>
        <v>66486.744</v>
      </c>
      <c r="L272" s="13">
        <f t="shared" si="66"/>
        <v>132973.488</v>
      </c>
      <c r="M272" s="139"/>
      <c r="N272" s="34">
        <f t="shared" si="67"/>
        <v>132973.488</v>
      </c>
      <c r="O272" s="152">
        <v>18795.84</v>
      </c>
      <c r="P272" s="152">
        <v>2145.16</v>
      </c>
      <c r="Q272" s="1">
        <v>1371.17</v>
      </c>
      <c r="R272" s="1">
        <v>2635.12</v>
      </c>
      <c r="S272" s="1">
        <v>1371.17</v>
      </c>
      <c r="T272" s="1">
        <v>8967.46</v>
      </c>
      <c r="U272" s="33">
        <v>16046.83</v>
      </c>
      <c r="V272" s="33">
        <v>7731.16</v>
      </c>
      <c r="W272" s="1">
        <v>38908.3</v>
      </c>
      <c r="X272" s="1">
        <v>6016.58</v>
      </c>
      <c r="Y272" s="1">
        <v>7596.34</v>
      </c>
      <c r="Z272" s="1">
        <v>4358.16</v>
      </c>
      <c r="AA272" s="33">
        <v>2921.18</v>
      </c>
      <c r="AB272" s="33">
        <v>4358.16</v>
      </c>
      <c r="AC272" s="33">
        <v>2921.18</v>
      </c>
      <c r="AD272" s="33">
        <v>9036.7</v>
      </c>
      <c r="AE272" s="33">
        <v>2921.18</v>
      </c>
      <c r="AF272" s="33">
        <v>4531.67</v>
      </c>
      <c r="AG272" s="1">
        <v>1371.17</v>
      </c>
      <c r="AH272" s="1">
        <v>5322.51</v>
      </c>
      <c r="AI272" s="1">
        <v>1371.17</v>
      </c>
      <c r="AJ272" s="1">
        <v>2145.16</v>
      </c>
      <c r="AK272" s="1">
        <v>4410.88</v>
      </c>
      <c r="AL272" s="1">
        <v>2145.16</v>
      </c>
      <c r="AM272" s="9">
        <f t="shared" si="62"/>
        <v>100006.40999999997</v>
      </c>
      <c r="AN272" s="9">
        <f t="shared" si="63"/>
        <v>59393</v>
      </c>
      <c r="AO272" s="248">
        <f t="shared" si="64"/>
        <v>159399.40999999997</v>
      </c>
      <c r="AP272" s="10"/>
      <c r="AQ272" s="10"/>
      <c r="AR272" s="10">
        <v>379.92</v>
      </c>
      <c r="AS272" s="10"/>
      <c r="AT272" s="163">
        <f t="shared" si="70"/>
        <v>159779.33</v>
      </c>
      <c r="AU272" s="2"/>
      <c r="AV272" s="2"/>
      <c r="AW272" s="168">
        <v>6536</v>
      </c>
      <c r="AX272" s="21">
        <f t="shared" si="65"/>
        <v>-20269.841999999975</v>
      </c>
      <c r="AY272" s="26">
        <v>314285.85</v>
      </c>
    </row>
    <row r="273" spans="1:51" ht="15.75">
      <c r="A273" s="1">
        <v>265</v>
      </c>
      <c r="B273" s="1" t="s">
        <v>269</v>
      </c>
      <c r="C273" s="1">
        <v>3236.65</v>
      </c>
      <c r="D273" s="1">
        <v>71.5</v>
      </c>
      <c r="E273" s="1">
        <f t="shared" si="69"/>
        <v>3308.15</v>
      </c>
      <c r="F273" s="2">
        <v>13.97</v>
      </c>
      <c r="G273" s="2">
        <f t="shared" si="59"/>
        <v>46214.855500000005</v>
      </c>
      <c r="H273" s="2">
        <f t="shared" si="60"/>
        <v>277289.13300000003</v>
      </c>
      <c r="I273" s="2">
        <f t="shared" si="71"/>
        <v>13.97</v>
      </c>
      <c r="J273" s="2">
        <f t="shared" si="68"/>
        <v>46214.855500000005</v>
      </c>
      <c r="K273" s="2">
        <f t="shared" si="61"/>
        <v>277289.13300000003</v>
      </c>
      <c r="L273" s="13">
        <f t="shared" si="66"/>
        <v>554578.2660000001</v>
      </c>
      <c r="M273" s="139">
        <v>-419750.64</v>
      </c>
      <c r="N273" s="34">
        <f t="shared" si="67"/>
        <v>134827.62600000005</v>
      </c>
      <c r="O273" s="152">
        <v>8165.14</v>
      </c>
      <c r="P273" s="152">
        <v>10731.72</v>
      </c>
      <c r="Q273" s="1">
        <v>22266.9</v>
      </c>
      <c r="R273" s="1">
        <v>9635.34</v>
      </c>
      <c r="S273" s="1">
        <v>7851.66</v>
      </c>
      <c r="T273" s="1">
        <v>8731.95</v>
      </c>
      <c r="U273" s="33">
        <v>27309.98</v>
      </c>
      <c r="V273" s="33">
        <v>16432.7</v>
      </c>
      <c r="W273" s="1">
        <v>75253.33</v>
      </c>
      <c r="X273" s="1">
        <v>12663.9</v>
      </c>
      <c r="Y273" s="1">
        <v>10453.75</v>
      </c>
      <c r="Z273" s="1">
        <v>11763.9</v>
      </c>
      <c r="AA273" s="33">
        <v>60848.76</v>
      </c>
      <c r="AB273" s="33">
        <v>8731.95</v>
      </c>
      <c r="AC273" s="33">
        <v>22973.32</v>
      </c>
      <c r="AD273" s="33">
        <v>19854.95</v>
      </c>
      <c r="AE273" s="33">
        <v>21323.9</v>
      </c>
      <c r="AF273" s="33">
        <v>8731.95</v>
      </c>
      <c r="AG273" s="1">
        <v>5623.86</v>
      </c>
      <c r="AH273" s="1">
        <v>9892.36</v>
      </c>
      <c r="AI273" s="1">
        <v>6359.76</v>
      </c>
      <c r="AJ273" s="1">
        <v>13074.22</v>
      </c>
      <c r="AK273" s="1">
        <v>17196.63</v>
      </c>
      <c r="AL273" s="1">
        <v>40279.5</v>
      </c>
      <c r="AM273" s="9">
        <f t="shared" si="62"/>
        <v>285626.99</v>
      </c>
      <c r="AN273" s="9">
        <f t="shared" si="63"/>
        <v>170524.44</v>
      </c>
      <c r="AO273" s="248">
        <f t="shared" si="64"/>
        <v>456151.43</v>
      </c>
      <c r="AP273" s="10"/>
      <c r="AQ273" s="10"/>
      <c r="AR273" s="10"/>
      <c r="AS273" s="10"/>
      <c r="AT273" s="163">
        <f t="shared" si="70"/>
        <v>456151.43</v>
      </c>
      <c r="AU273" s="2"/>
      <c r="AV273" s="2"/>
      <c r="AW273" s="168"/>
      <c r="AX273" s="21">
        <f t="shared" si="65"/>
        <v>-321323.80399999995</v>
      </c>
      <c r="AY273" s="26">
        <v>282584.31</v>
      </c>
    </row>
    <row r="274" spans="1:51" ht="15.75">
      <c r="A274" s="1">
        <v>266</v>
      </c>
      <c r="B274" s="1" t="s">
        <v>270</v>
      </c>
      <c r="C274" s="1">
        <v>3587.8</v>
      </c>
      <c r="D274" s="1">
        <v>480.2</v>
      </c>
      <c r="E274" s="1">
        <f t="shared" si="69"/>
        <v>4068</v>
      </c>
      <c r="F274" s="2">
        <v>14.97</v>
      </c>
      <c r="G274" s="2">
        <f t="shared" si="59"/>
        <v>60897.96</v>
      </c>
      <c r="H274" s="2">
        <f t="shared" si="60"/>
        <v>365387.76</v>
      </c>
      <c r="I274" s="2">
        <f t="shared" si="71"/>
        <v>14.97</v>
      </c>
      <c r="J274" s="2">
        <f t="shared" si="68"/>
        <v>60897.96</v>
      </c>
      <c r="K274" s="2">
        <f t="shared" si="61"/>
        <v>365387.76</v>
      </c>
      <c r="L274" s="13">
        <f t="shared" si="66"/>
        <v>730775.52</v>
      </c>
      <c r="M274" s="139">
        <v>-118837.65</v>
      </c>
      <c r="N274" s="34">
        <f t="shared" si="67"/>
        <v>611937.87</v>
      </c>
      <c r="O274" s="152">
        <v>50910.62</v>
      </c>
      <c r="P274" s="152">
        <v>21883.52</v>
      </c>
      <c r="Q274" s="1">
        <v>9766.94</v>
      </c>
      <c r="R274" s="1">
        <v>11789.24</v>
      </c>
      <c r="S274" s="1">
        <v>46722.67</v>
      </c>
      <c r="T274" s="1">
        <v>10456.05</v>
      </c>
      <c r="U274" s="33">
        <v>7486.04</v>
      </c>
      <c r="V274" s="33">
        <v>42575.4</v>
      </c>
      <c r="W274" s="1">
        <v>18473.43</v>
      </c>
      <c r="X274" s="1">
        <v>21290.39</v>
      </c>
      <c r="Y274" s="1">
        <v>44498.52</v>
      </c>
      <c r="Z274" s="1">
        <v>11430.25</v>
      </c>
      <c r="AA274" s="33">
        <v>18919.15</v>
      </c>
      <c r="AB274" s="33">
        <v>24124.53</v>
      </c>
      <c r="AC274" s="33">
        <v>34088.9</v>
      </c>
      <c r="AD274" s="33">
        <v>17347.59</v>
      </c>
      <c r="AE274" s="33">
        <v>68390.61</v>
      </c>
      <c r="AF274" s="33">
        <v>85334.31</v>
      </c>
      <c r="AG274" s="1">
        <v>9778.96</v>
      </c>
      <c r="AH274" s="1">
        <v>47857.49</v>
      </c>
      <c r="AI274" s="1">
        <v>35245.33</v>
      </c>
      <c r="AJ274" s="1">
        <v>39110.68</v>
      </c>
      <c r="AK274" s="1">
        <v>17213.9</v>
      </c>
      <c r="AL274" s="1">
        <v>11504.1</v>
      </c>
      <c r="AM274" s="9">
        <f t="shared" si="62"/>
        <v>361495.07000000007</v>
      </c>
      <c r="AN274" s="9">
        <f t="shared" si="63"/>
        <v>344703.55</v>
      </c>
      <c r="AO274" s="248">
        <f t="shared" si="64"/>
        <v>706198.6200000001</v>
      </c>
      <c r="AP274" s="10"/>
      <c r="AQ274" s="10">
        <f>103209.76</f>
        <v>103209.76</v>
      </c>
      <c r="AR274" s="10"/>
      <c r="AS274" s="10"/>
      <c r="AT274" s="163">
        <f t="shared" si="70"/>
        <v>809408.3800000001</v>
      </c>
      <c r="AU274" s="2"/>
      <c r="AV274" s="2"/>
      <c r="AW274" s="168">
        <v>4128</v>
      </c>
      <c r="AX274" s="21">
        <f t="shared" si="65"/>
        <v>-193342.51000000013</v>
      </c>
      <c r="AY274" s="26">
        <v>211788.92</v>
      </c>
    </row>
    <row r="275" spans="1:51" ht="15.75">
      <c r="A275" s="1">
        <v>267</v>
      </c>
      <c r="B275" s="1" t="s">
        <v>271</v>
      </c>
      <c r="C275" s="1">
        <v>4144.9</v>
      </c>
      <c r="D275" s="1">
        <v>485.4</v>
      </c>
      <c r="E275" s="1">
        <f t="shared" si="69"/>
        <v>4630.299999999999</v>
      </c>
      <c r="F275" s="2">
        <v>14.36</v>
      </c>
      <c r="G275" s="2">
        <f t="shared" si="59"/>
        <v>66491.108</v>
      </c>
      <c r="H275" s="2">
        <f t="shared" si="60"/>
        <v>398946.6479999999</v>
      </c>
      <c r="I275" s="2">
        <f t="shared" si="71"/>
        <v>14.36</v>
      </c>
      <c r="J275" s="2">
        <f t="shared" si="68"/>
        <v>66491.108</v>
      </c>
      <c r="K275" s="2">
        <f t="shared" si="61"/>
        <v>398946.6479999999</v>
      </c>
      <c r="L275" s="13">
        <f t="shared" si="66"/>
        <v>797893.2959999999</v>
      </c>
      <c r="M275" s="139"/>
      <c r="N275" s="34">
        <f t="shared" si="67"/>
        <v>797893.2959999999</v>
      </c>
      <c r="O275" s="152">
        <v>14872.95</v>
      </c>
      <c r="P275" s="152">
        <v>12359.87</v>
      </c>
      <c r="Q275" s="1">
        <v>8519.75</v>
      </c>
      <c r="R275" s="1">
        <v>12855.99</v>
      </c>
      <c r="S275" s="1">
        <v>59080.85</v>
      </c>
      <c r="T275" s="1">
        <v>12359.87</v>
      </c>
      <c r="U275" s="33">
        <v>18770.62</v>
      </c>
      <c r="V275" s="33">
        <v>27740.3</v>
      </c>
      <c r="W275" s="1">
        <v>18150.78</v>
      </c>
      <c r="X275" s="1">
        <v>12359.87</v>
      </c>
      <c r="Y275" s="1">
        <v>30732.68</v>
      </c>
      <c r="Z275" s="1">
        <v>18254.25</v>
      </c>
      <c r="AA275" s="33">
        <v>38498.55</v>
      </c>
      <c r="AB275" s="33">
        <v>18563.24</v>
      </c>
      <c r="AC275" s="33">
        <v>21855.39</v>
      </c>
      <c r="AD275" s="33">
        <v>12359.87</v>
      </c>
      <c r="AE275" s="33">
        <v>26040.33</v>
      </c>
      <c r="AF275" s="33">
        <v>14845.69</v>
      </c>
      <c r="AG275" s="1">
        <v>18137.2</v>
      </c>
      <c r="AH275" s="1">
        <v>13520.28</v>
      </c>
      <c r="AI275" s="1">
        <v>40055.65</v>
      </c>
      <c r="AJ275" s="1">
        <v>12899.87</v>
      </c>
      <c r="AK275" s="1">
        <v>11277.64</v>
      </c>
      <c r="AL275" s="1">
        <v>39316.22</v>
      </c>
      <c r="AM275" s="9">
        <f t="shared" si="62"/>
        <v>305992.3900000001</v>
      </c>
      <c r="AN275" s="9">
        <f t="shared" si="63"/>
        <v>207435.31999999998</v>
      </c>
      <c r="AO275" s="248">
        <f t="shared" si="64"/>
        <v>513427.7100000001</v>
      </c>
      <c r="AP275" s="10"/>
      <c r="AQ275" s="10"/>
      <c r="AR275" s="10"/>
      <c r="AS275" s="10">
        <v>1000</v>
      </c>
      <c r="AT275" s="163">
        <f t="shared" si="70"/>
        <v>514427.7100000001</v>
      </c>
      <c r="AU275" s="2"/>
      <c r="AV275" s="2"/>
      <c r="AW275" s="168">
        <v>4128</v>
      </c>
      <c r="AX275" s="21">
        <f t="shared" si="65"/>
        <v>287593.5859999998</v>
      </c>
      <c r="AY275" s="26">
        <v>197126.84</v>
      </c>
    </row>
    <row r="276" spans="1:78" s="18" customFormat="1" ht="15.75">
      <c r="A276" s="1">
        <v>268</v>
      </c>
      <c r="B276" s="1" t="s">
        <v>272</v>
      </c>
      <c r="C276" s="1">
        <v>255.5</v>
      </c>
      <c r="D276" s="1">
        <v>0</v>
      </c>
      <c r="E276" s="1">
        <f t="shared" si="69"/>
        <v>255.5</v>
      </c>
      <c r="F276" s="2">
        <v>7.69</v>
      </c>
      <c r="G276" s="2">
        <f t="shared" si="59"/>
        <v>1964.795</v>
      </c>
      <c r="H276" s="2">
        <f t="shared" si="60"/>
        <v>11788.77</v>
      </c>
      <c r="I276" s="2">
        <f t="shared" si="71"/>
        <v>7.69</v>
      </c>
      <c r="J276" s="2">
        <f t="shared" si="68"/>
        <v>1964.795</v>
      </c>
      <c r="K276" s="2">
        <f t="shared" si="61"/>
        <v>11788.77</v>
      </c>
      <c r="L276" s="13">
        <f t="shared" si="66"/>
        <v>23577.54</v>
      </c>
      <c r="M276" s="139">
        <v>-28997.81</v>
      </c>
      <c r="N276" s="34">
        <f t="shared" si="67"/>
        <v>-5420.27</v>
      </c>
      <c r="O276" s="152">
        <v>0</v>
      </c>
      <c r="P276" s="152">
        <v>656.64</v>
      </c>
      <c r="Q276" s="1">
        <v>0</v>
      </c>
      <c r="R276" s="1">
        <v>656.64</v>
      </c>
      <c r="S276" s="1">
        <v>0</v>
      </c>
      <c r="T276" s="1">
        <v>656.64</v>
      </c>
      <c r="U276" s="33">
        <v>0</v>
      </c>
      <c r="V276" s="33">
        <v>1236.64</v>
      </c>
      <c r="W276" s="1">
        <v>0</v>
      </c>
      <c r="X276" s="1">
        <v>656.64</v>
      </c>
      <c r="Y276" s="1">
        <v>0</v>
      </c>
      <c r="Z276" s="1">
        <v>656.64</v>
      </c>
      <c r="AA276" s="33">
        <v>0</v>
      </c>
      <c r="AB276" s="33">
        <v>656.64</v>
      </c>
      <c r="AC276" s="33">
        <v>0</v>
      </c>
      <c r="AD276" s="33">
        <v>656.64</v>
      </c>
      <c r="AE276" s="33">
        <v>0</v>
      </c>
      <c r="AF276" s="33">
        <v>656.64</v>
      </c>
      <c r="AG276" s="1">
        <v>0</v>
      </c>
      <c r="AH276" s="1">
        <v>1292.3</v>
      </c>
      <c r="AI276" s="1">
        <v>0</v>
      </c>
      <c r="AJ276" s="1">
        <v>656.64</v>
      </c>
      <c r="AK276" s="1">
        <v>0</v>
      </c>
      <c r="AL276" s="1">
        <v>656.64</v>
      </c>
      <c r="AM276" s="9">
        <f t="shared" si="62"/>
        <v>0</v>
      </c>
      <c r="AN276" s="9">
        <f t="shared" si="63"/>
        <v>9095.34</v>
      </c>
      <c r="AO276" s="248">
        <f t="shared" si="64"/>
        <v>9095.34</v>
      </c>
      <c r="AP276" s="10"/>
      <c r="AQ276" s="10"/>
      <c r="AR276" s="10"/>
      <c r="AS276" s="10"/>
      <c r="AT276" s="163">
        <f t="shared" si="70"/>
        <v>9095.34</v>
      </c>
      <c r="AU276" s="2"/>
      <c r="AV276" s="2"/>
      <c r="AW276" s="168"/>
      <c r="AX276" s="21">
        <f t="shared" si="65"/>
        <v>-14515.61</v>
      </c>
      <c r="AY276" s="26">
        <f>231735.48+5077.99</f>
        <v>236813.47</v>
      </c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</row>
    <row r="277" spans="1:78" s="18" customFormat="1" ht="15.75">
      <c r="A277" s="1">
        <v>269</v>
      </c>
      <c r="B277" s="1" t="s">
        <v>273</v>
      </c>
      <c r="C277" s="1">
        <v>480.7</v>
      </c>
      <c r="D277" s="1">
        <v>0</v>
      </c>
      <c r="E277" s="1">
        <f t="shared" si="69"/>
        <v>480.7</v>
      </c>
      <c r="F277" s="2">
        <v>13</v>
      </c>
      <c r="G277" s="2">
        <f t="shared" si="59"/>
        <v>6249.099999999999</v>
      </c>
      <c r="H277" s="2">
        <f t="shared" si="60"/>
        <v>37494.6</v>
      </c>
      <c r="I277" s="2">
        <f t="shared" si="71"/>
        <v>13</v>
      </c>
      <c r="J277" s="2">
        <f t="shared" si="68"/>
        <v>6249.099999999999</v>
      </c>
      <c r="K277" s="2">
        <f t="shared" si="61"/>
        <v>37494.6</v>
      </c>
      <c r="L277" s="13">
        <f t="shared" si="66"/>
        <v>74989.2</v>
      </c>
      <c r="M277" s="139"/>
      <c r="N277" s="34">
        <f t="shared" si="67"/>
        <v>74989.2</v>
      </c>
      <c r="O277" s="152">
        <v>817.19</v>
      </c>
      <c r="P277" s="152">
        <v>1235.4</v>
      </c>
      <c r="Q277" s="1">
        <v>817.19</v>
      </c>
      <c r="R277" s="1">
        <v>1235.4</v>
      </c>
      <c r="S277" s="1">
        <v>5362.11</v>
      </c>
      <c r="T277" s="1">
        <v>1235.4</v>
      </c>
      <c r="U277" s="33">
        <v>817.19</v>
      </c>
      <c r="V277" s="33">
        <v>1815.4</v>
      </c>
      <c r="W277" s="1">
        <v>1519.01</v>
      </c>
      <c r="X277" s="1">
        <v>1235.4</v>
      </c>
      <c r="Y277" s="1">
        <v>1519.01</v>
      </c>
      <c r="Z277" s="1">
        <v>1235.4</v>
      </c>
      <c r="AA277" s="33">
        <v>1519.01</v>
      </c>
      <c r="AB277" s="33">
        <v>1235.4</v>
      </c>
      <c r="AC277" s="33">
        <v>1519.01</v>
      </c>
      <c r="AD277" s="33">
        <v>1235.4</v>
      </c>
      <c r="AE277" s="33">
        <v>1519.01</v>
      </c>
      <c r="AF277" s="33">
        <v>1235.4</v>
      </c>
      <c r="AG277" s="1">
        <v>817.19</v>
      </c>
      <c r="AH277" s="1">
        <v>2395.81</v>
      </c>
      <c r="AI277" s="1">
        <v>817.19</v>
      </c>
      <c r="AJ277" s="1">
        <v>1235.4</v>
      </c>
      <c r="AK277" s="1">
        <v>817.19</v>
      </c>
      <c r="AL277" s="1">
        <v>1235.4</v>
      </c>
      <c r="AM277" s="9">
        <f t="shared" si="62"/>
        <v>17860.3</v>
      </c>
      <c r="AN277" s="9">
        <f t="shared" si="63"/>
        <v>16565.21</v>
      </c>
      <c r="AO277" s="248">
        <f t="shared" si="64"/>
        <v>34425.509999999995</v>
      </c>
      <c r="AP277" s="10"/>
      <c r="AQ277" s="10"/>
      <c r="AR277" s="10"/>
      <c r="AS277" s="10"/>
      <c r="AT277" s="163">
        <f t="shared" si="70"/>
        <v>34425.509999999995</v>
      </c>
      <c r="AU277" s="2"/>
      <c r="AV277" s="2"/>
      <c r="AW277" s="168"/>
      <c r="AX277" s="21">
        <f t="shared" si="65"/>
        <v>40563.69</v>
      </c>
      <c r="AY277" s="26">
        <v>27301.73</v>
      </c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</row>
    <row r="278" spans="1:51" ht="15.75">
      <c r="A278" s="1">
        <v>270</v>
      </c>
      <c r="B278" s="1" t="s">
        <v>274</v>
      </c>
      <c r="C278" s="1">
        <v>1325.7</v>
      </c>
      <c r="D278" s="1">
        <v>482.3</v>
      </c>
      <c r="E278" s="1">
        <f t="shared" si="69"/>
        <v>1808</v>
      </c>
      <c r="F278" s="2">
        <v>12.98</v>
      </c>
      <c r="G278" s="2">
        <f t="shared" si="59"/>
        <v>23467.84</v>
      </c>
      <c r="H278" s="2">
        <f t="shared" si="60"/>
        <v>140807.04</v>
      </c>
      <c r="I278" s="2">
        <f t="shared" si="71"/>
        <v>12.98</v>
      </c>
      <c r="J278" s="2">
        <f t="shared" si="68"/>
        <v>23467.84</v>
      </c>
      <c r="K278" s="2">
        <f t="shared" si="61"/>
        <v>140807.04</v>
      </c>
      <c r="L278" s="13">
        <f t="shared" si="66"/>
        <v>281614.08</v>
      </c>
      <c r="M278" s="139"/>
      <c r="N278" s="34">
        <f t="shared" si="67"/>
        <v>281614.08</v>
      </c>
      <c r="O278" s="152">
        <v>0</v>
      </c>
      <c r="P278" s="152">
        <v>4876.56</v>
      </c>
      <c r="Q278" s="1">
        <v>0</v>
      </c>
      <c r="R278" s="1">
        <v>7931.34</v>
      </c>
      <c r="S278" s="1">
        <v>0</v>
      </c>
      <c r="T278" s="1">
        <v>45239.34</v>
      </c>
      <c r="U278" s="33">
        <v>0</v>
      </c>
      <c r="V278" s="33">
        <v>33299.83</v>
      </c>
      <c r="W278" s="1">
        <v>0</v>
      </c>
      <c r="X278" s="1">
        <v>102447.72</v>
      </c>
      <c r="Y278" s="1">
        <v>0</v>
      </c>
      <c r="Z278" s="1">
        <v>4876.56</v>
      </c>
      <c r="AA278" s="33">
        <v>0</v>
      </c>
      <c r="AB278" s="33">
        <v>4876.56</v>
      </c>
      <c r="AC278" s="33">
        <v>0</v>
      </c>
      <c r="AD278" s="33">
        <v>12292.12</v>
      </c>
      <c r="AE278" s="33">
        <v>0</v>
      </c>
      <c r="AF278" s="33">
        <v>6099.26</v>
      </c>
      <c r="AG278" s="1">
        <v>0</v>
      </c>
      <c r="AH278" s="1">
        <v>6036.97</v>
      </c>
      <c r="AI278" s="1">
        <v>0</v>
      </c>
      <c r="AJ278" s="1">
        <v>4876.56</v>
      </c>
      <c r="AK278" s="1">
        <v>0</v>
      </c>
      <c r="AL278" s="1">
        <v>5985.38</v>
      </c>
      <c r="AM278" s="9">
        <f t="shared" si="62"/>
        <v>0</v>
      </c>
      <c r="AN278" s="9">
        <f t="shared" si="63"/>
        <v>238838.2</v>
      </c>
      <c r="AO278" s="248">
        <f t="shared" si="64"/>
        <v>238838.2</v>
      </c>
      <c r="AP278" s="10"/>
      <c r="AQ278" s="10"/>
      <c r="AR278" s="10"/>
      <c r="AS278" s="10"/>
      <c r="AT278" s="163">
        <f t="shared" si="70"/>
        <v>238838.2</v>
      </c>
      <c r="AU278" s="2"/>
      <c r="AV278" s="2"/>
      <c r="AW278" s="168"/>
      <c r="AX278" s="21">
        <f t="shared" si="65"/>
        <v>42775.880000000005</v>
      </c>
      <c r="AY278" s="26">
        <v>182049.39</v>
      </c>
    </row>
    <row r="279" spans="1:51" ht="15.75">
      <c r="A279" s="1">
        <v>271</v>
      </c>
      <c r="B279" s="1" t="s">
        <v>275</v>
      </c>
      <c r="C279" s="1">
        <v>789.9</v>
      </c>
      <c r="D279" s="1">
        <v>0</v>
      </c>
      <c r="E279" s="1">
        <f t="shared" si="69"/>
        <v>789.9</v>
      </c>
      <c r="F279" s="2">
        <v>13.07</v>
      </c>
      <c r="G279" s="2">
        <f t="shared" si="59"/>
        <v>10323.993</v>
      </c>
      <c r="H279" s="2">
        <f t="shared" si="60"/>
        <v>61943.958</v>
      </c>
      <c r="I279" s="2">
        <f t="shared" si="71"/>
        <v>13.07</v>
      </c>
      <c r="J279" s="2">
        <f t="shared" si="68"/>
        <v>10323.993</v>
      </c>
      <c r="K279" s="2">
        <f t="shared" si="61"/>
        <v>61943.958</v>
      </c>
      <c r="L279" s="13">
        <f t="shared" si="66"/>
        <v>123887.916</v>
      </c>
      <c r="M279" s="139"/>
      <c r="N279" s="34">
        <f t="shared" si="67"/>
        <v>123887.916</v>
      </c>
      <c r="O279" s="152">
        <v>0</v>
      </c>
      <c r="P279" s="152">
        <v>3372.87</v>
      </c>
      <c r="Q279" s="1">
        <v>0</v>
      </c>
      <c r="R279" s="1">
        <v>25235.17</v>
      </c>
      <c r="S279" s="1">
        <v>0</v>
      </c>
      <c r="T279" s="1">
        <v>4085.53</v>
      </c>
      <c r="U279" s="33">
        <v>0</v>
      </c>
      <c r="V279" s="33">
        <v>3952.87</v>
      </c>
      <c r="W279" s="1">
        <v>0</v>
      </c>
      <c r="X279" s="1">
        <v>7698.26</v>
      </c>
      <c r="Y279" s="1">
        <v>0</v>
      </c>
      <c r="Z279" s="1">
        <v>4526.13</v>
      </c>
      <c r="AA279" s="33">
        <v>0</v>
      </c>
      <c r="AB279" s="33">
        <v>5604.13</v>
      </c>
      <c r="AC279" s="33">
        <v>0</v>
      </c>
      <c r="AD279" s="33">
        <v>9074.69</v>
      </c>
      <c r="AE279" s="33">
        <v>0</v>
      </c>
      <c r="AF279" s="33">
        <v>4526.13</v>
      </c>
      <c r="AG279" s="1">
        <v>0</v>
      </c>
      <c r="AH279" s="1">
        <v>4533.28</v>
      </c>
      <c r="AI279" s="1">
        <v>0</v>
      </c>
      <c r="AJ279" s="1">
        <v>3372.87</v>
      </c>
      <c r="AK279" s="1">
        <v>0</v>
      </c>
      <c r="AL279" s="1">
        <v>3873.37</v>
      </c>
      <c r="AM279" s="9">
        <f t="shared" si="62"/>
        <v>0</v>
      </c>
      <c r="AN279" s="9">
        <f t="shared" si="63"/>
        <v>79855.29999999999</v>
      </c>
      <c r="AO279" s="248">
        <f t="shared" si="64"/>
        <v>79855.29999999999</v>
      </c>
      <c r="AP279" s="10"/>
      <c r="AQ279" s="10"/>
      <c r="AR279" s="10"/>
      <c r="AS279" s="10"/>
      <c r="AT279" s="163">
        <f t="shared" si="70"/>
        <v>79855.29999999999</v>
      </c>
      <c r="AU279" s="2"/>
      <c r="AV279" s="2"/>
      <c r="AW279" s="168"/>
      <c r="AX279" s="21">
        <f t="shared" si="65"/>
        <v>44032.61600000001</v>
      </c>
      <c r="AY279" s="26">
        <v>24053.82</v>
      </c>
    </row>
    <row r="280" spans="1:51" ht="15.75">
      <c r="A280" s="1">
        <v>272</v>
      </c>
      <c r="B280" s="1" t="s">
        <v>276</v>
      </c>
      <c r="C280" s="1">
        <v>452.4</v>
      </c>
      <c r="D280" s="1">
        <v>0</v>
      </c>
      <c r="E280" s="1">
        <f t="shared" si="69"/>
        <v>452.4</v>
      </c>
      <c r="F280" s="2">
        <v>13</v>
      </c>
      <c r="G280" s="2">
        <f t="shared" si="59"/>
        <v>5881.2</v>
      </c>
      <c r="H280" s="2">
        <f t="shared" si="60"/>
        <v>35287.2</v>
      </c>
      <c r="I280" s="2">
        <f t="shared" si="71"/>
        <v>13</v>
      </c>
      <c r="J280" s="2">
        <f t="shared" si="68"/>
        <v>5881.2</v>
      </c>
      <c r="K280" s="2">
        <f t="shared" si="61"/>
        <v>35287.2</v>
      </c>
      <c r="L280" s="13">
        <f t="shared" si="66"/>
        <v>70574.4</v>
      </c>
      <c r="M280" s="139"/>
      <c r="N280" s="34">
        <f t="shared" si="67"/>
        <v>70574.4</v>
      </c>
      <c r="O280" s="152">
        <v>0</v>
      </c>
      <c r="P280" s="152">
        <v>2155.34</v>
      </c>
      <c r="Q280" s="1">
        <v>0</v>
      </c>
      <c r="R280" s="1">
        <v>5210.12</v>
      </c>
      <c r="S280" s="1">
        <v>0</v>
      </c>
      <c r="T280" s="1">
        <v>4416.2</v>
      </c>
      <c r="U280" s="33">
        <v>0</v>
      </c>
      <c r="V280" s="33">
        <v>8248.31</v>
      </c>
      <c r="W280" s="1">
        <v>0</v>
      </c>
      <c r="X280" s="1">
        <v>30089.18</v>
      </c>
      <c r="Y280" s="1">
        <v>0</v>
      </c>
      <c r="Z280" s="1">
        <v>3760.96</v>
      </c>
      <c r="AA280" s="33">
        <v>0</v>
      </c>
      <c r="AB280" s="33">
        <v>3443.66</v>
      </c>
      <c r="AC280" s="33">
        <v>0</v>
      </c>
      <c r="AD280" s="33">
        <v>2813.66</v>
      </c>
      <c r="AE280" s="33">
        <v>0</v>
      </c>
      <c r="AF280" s="33">
        <v>2813.66</v>
      </c>
      <c r="AG280" s="1">
        <v>0</v>
      </c>
      <c r="AH280" s="1">
        <v>3315.75</v>
      </c>
      <c r="AI280" s="1">
        <v>0</v>
      </c>
      <c r="AJ280" s="1">
        <v>2155.34</v>
      </c>
      <c r="AK280" s="1">
        <v>0</v>
      </c>
      <c r="AL280" s="1">
        <v>5872.43</v>
      </c>
      <c r="AM280" s="9">
        <f t="shared" si="62"/>
        <v>0</v>
      </c>
      <c r="AN280" s="9">
        <f t="shared" si="63"/>
        <v>74294.61000000002</v>
      </c>
      <c r="AO280" s="248">
        <f t="shared" si="64"/>
        <v>74294.61000000002</v>
      </c>
      <c r="AP280" s="10"/>
      <c r="AQ280" s="10"/>
      <c r="AR280" s="10"/>
      <c r="AS280" s="10"/>
      <c r="AT280" s="163">
        <f t="shared" si="70"/>
        <v>74294.61000000002</v>
      </c>
      <c r="AU280" s="2"/>
      <c r="AV280" s="2"/>
      <c r="AW280" s="168"/>
      <c r="AX280" s="21">
        <f t="shared" si="65"/>
        <v>-3720.210000000021</v>
      </c>
      <c r="AY280" s="26">
        <v>125616.06</v>
      </c>
    </row>
    <row r="281" spans="1:51" ht="15.75">
      <c r="A281" s="1">
        <v>273</v>
      </c>
      <c r="B281" s="1" t="s">
        <v>277</v>
      </c>
      <c r="C281" s="1">
        <v>818.6</v>
      </c>
      <c r="D281" s="1">
        <v>0</v>
      </c>
      <c r="E281" s="1">
        <f t="shared" si="69"/>
        <v>818.6</v>
      </c>
      <c r="F281" s="2">
        <v>13.07</v>
      </c>
      <c r="G281" s="2">
        <f t="shared" si="59"/>
        <v>10699.102</v>
      </c>
      <c r="H281" s="2">
        <f t="shared" si="60"/>
        <v>64194.61200000001</v>
      </c>
      <c r="I281" s="2">
        <f t="shared" si="71"/>
        <v>13.07</v>
      </c>
      <c r="J281" s="2">
        <f t="shared" si="68"/>
        <v>10699.102</v>
      </c>
      <c r="K281" s="2">
        <f t="shared" si="61"/>
        <v>64194.61200000001</v>
      </c>
      <c r="L281" s="13">
        <f t="shared" si="66"/>
        <v>128389.22400000002</v>
      </c>
      <c r="M281" s="139">
        <v>-359374.55</v>
      </c>
      <c r="N281" s="34">
        <f t="shared" si="67"/>
        <v>-230985.32599999997</v>
      </c>
      <c r="O281" s="152">
        <v>0</v>
      </c>
      <c r="P281" s="152">
        <v>4103.57</v>
      </c>
      <c r="Q281" s="1">
        <v>0</v>
      </c>
      <c r="R281" s="1">
        <v>65152.18</v>
      </c>
      <c r="S281" s="1">
        <v>0</v>
      </c>
      <c r="T281" s="1">
        <v>6625.52</v>
      </c>
      <c r="U281" s="33">
        <v>0</v>
      </c>
      <c r="V281" s="33">
        <v>2683.8</v>
      </c>
      <c r="W281" s="1">
        <v>0</v>
      </c>
      <c r="X281" s="1">
        <v>2103.8</v>
      </c>
      <c r="Y281" s="1">
        <v>0</v>
      </c>
      <c r="Z281" s="1">
        <v>20051.11</v>
      </c>
      <c r="AA281" s="33">
        <v>0</v>
      </c>
      <c r="AB281" s="33">
        <v>2733.8</v>
      </c>
      <c r="AC281" s="33">
        <v>0</v>
      </c>
      <c r="AD281" s="33">
        <v>2103.8</v>
      </c>
      <c r="AE281" s="33">
        <v>0</v>
      </c>
      <c r="AF281" s="33">
        <v>2103.8</v>
      </c>
      <c r="AG281" s="1">
        <v>0</v>
      </c>
      <c r="AH281" s="1">
        <v>3264.21</v>
      </c>
      <c r="AI281" s="1">
        <v>0</v>
      </c>
      <c r="AJ281" s="1">
        <v>2103.8</v>
      </c>
      <c r="AK281" s="1">
        <v>0</v>
      </c>
      <c r="AL281" s="1">
        <v>2604.3</v>
      </c>
      <c r="AM281" s="9">
        <f t="shared" si="62"/>
        <v>0</v>
      </c>
      <c r="AN281" s="9">
        <f t="shared" si="63"/>
        <v>115633.69000000003</v>
      </c>
      <c r="AO281" s="248">
        <f t="shared" si="64"/>
        <v>115633.69000000003</v>
      </c>
      <c r="AP281" s="10"/>
      <c r="AQ281" s="10">
        <v>24096.97</v>
      </c>
      <c r="AR281" s="10"/>
      <c r="AS281" s="10"/>
      <c r="AT281" s="163">
        <f t="shared" si="70"/>
        <v>139730.66000000003</v>
      </c>
      <c r="AU281" s="2"/>
      <c r="AV281" s="2"/>
      <c r="AW281" s="168"/>
      <c r="AX281" s="21">
        <f t="shared" si="65"/>
        <v>-370715.98600000003</v>
      </c>
      <c r="AY281" s="26">
        <v>96886.9</v>
      </c>
    </row>
    <row r="282" spans="1:78" s="18" customFormat="1" ht="15.75">
      <c r="A282" s="1">
        <v>274</v>
      </c>
      <c r="B282" s="1" t="s">
        <v>278</v>
      </c>
      <c r="C282" s="1">
        <v>458.3</v>
      </c>
      <c r="D282" s="1">
        <v>0</v>
      </c>
      <c r="E282" s="1">
        <f t="shared" si="69"/>
        <v>458.3</v>
      </c>
      <c r="F282" s="2">
        <v>13</v>
      </c>
      <c r="G282" s="2">
        <f t="shared" si="59"/>
        <v>5957.900000000001</v>
      </c>
      <c r="H282" s="2">
        <f t="shared" si="60"/>
        <v>35747.4</v>
      </c>
      <c r="I282" s="2">
        <f t="shared" si="71"/>
        <v>13</v>
      </c>
      <c r="J282" s="2">
        <f t="shared" si="68"/>
        <v>5957.900000000001</v>
      </c>
      <c r="K282" s="2">
        <f t="shared" si="61"/>
        <v>35747.4</v>
      </c>
      <c r="L282" s="13">
        <f t="shared" si="66"/>
        <v>71494.8</v>
      </c>
      <c r="M282" s="139">
        <v>-45482.42</v>
      </c>
      <c r="N282" s="34">
        <f t="shared" si="67"/>
        <v>26012.380000000005</v>
      </c>
      <c r="O282" s="152">
        <v>0</v>
      </c>
      <c r="P282" s="152">
        <v>3407.6</v>
      </c>
      <c r="Q282" s="1">
        <v>0</v>
      </c>
      <c r="R282" s="1">
        <v>2407.71</v>
      </c>
      <c r="S282" s="1">
        <v>0</v>
      </c>
      <c r="T282" s="1">
        <v>2407.71</v>
      </c>
      <c r="U282" s="33">
        <v>0</v>
      </c>
      <c r="V282" s="33">
        <v>83074.64</v>
      </c>
      <c r="W282" s="1">
        <v>0</v>
      </c>
      <c r="X282" s="1">
        <v>1407.83</v>
      </c>
      <c r="Y282" s="1">
        <v>0</v>
      </c>
      <c r="Z282" s="1">
        <v>1407.83</v>
      </c>
      <c r="AA282" s="33">
        <v>0</v>
      </c>
      <c r="AB282" s="33">
        <v>2300.33</v>
      </c>
      <c r="AC282" s="33">
        <v>0</v>
      </c>
      <c r="AD282" s="33">
        <v>1407.83</v>
      </c>
      <c r="AE282" s="33">
        <v>0</v>
      </c>
      <c r="AF282" s="33">
        <v>1407.83</v>
      </c>
      <c r="AG282" s="1">
        <v>0</v>
      </c>
      <c r="AH282" s="1">
        <v>46918.6</v>
      </c>
      <c r="AI282" s="1">
        <v>0</v>
      </c>
      <c r="AJ282" s="1">
        <v>9333.33</v>
      </c>
      <c r="AK282" s="1">
        <v>0</v>
      </c>
      <c r="AL282" s="1">
        <v>1658.08</v>
      </c>
      <c r="AM282" s="9">
        <f t="shared" si="62"/>
        <v>0</v>
      </c>
      <c r="AN282" s="9">
        <f t="shared" si="63"/>
        <v>157139.31999999998</v>
      </c>
      <c r="AO282" s="248">
        <f t="shared" si="64"/>
        <v>157139.31999999998</v>
      </c>
      <c r="AP282" s="10"/>
      <c r="AQ282" s="10"/>
      <c r="AR282" s="10"/>
      <c r="AS282" s="10"/>
      <c r="AT282" s="163">
        <f t="shared" si="70"/>
        <v>157139.31999999998</v>
      </c>
      <c r="AU282" s="2"/>
      <c r="AV282" s="2"/>
      <c r="AW282" s="168">
        <v>13836</v>
      </c>
      <c r="AX282" s="21">
        <f t="shared" si="65"/>
        <v>-117290.93999999997</v>
      </c>
      <c r="AY282" s="26">
        <v>131492.82</v>
      </c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</row>
    <row r="283" spans="1:51" ht="15.75">
      <c r="A283" s="1">
        <v>275</v>
      </c>
      <c r="B283" s="1" t="s">
        <v>279</v>
      </c>
      <c r="C283" s="1">
        <v>1522.4</v>
      </c>
      <c r="D283" s="1">
        <v>71.6</v>
      </c>
      <c r="E283" s="1">
        <f t="shared" si="69"/>
        <v>1594</v>
      </c>
      <c r="F283" s="2">
        <v>14.27</v>
      </c>
      <c r="G283" s="2">
        <f t="shared" si="59"/>
        <v>22746.38</v>
      </c>
      <c r="H283" s="2">
        <f t="shared" si="60"/>
        <v>136478.28</v>
      </c>
      <c r="I283" s="2">
        <f t="shared" si="71"/>
        <v>14.27</v>
      </c>
      <c r="J283" s="2">
        <f t="shared" si="68"/>
        <v>22746.38</v>
      </c>
      <c r="K283" s="2">
        <f t="shared" si="61"/>
        <v>136478.28</v>
      </c>
      <c r="L283" s="13">
        <f t="shared" si="66"/>
        <v>272956.56</v>
      </c>
      <c r="M283" s="139"/>
      <c r="N283" s="34">
        <f t="shared" si="67"/>
        <v>272956.56</v>
      </c>
      <c r="O283" s="152">
        <v>16705.75</v>
      </c>
      <c r="P283" s="152">
        <v>6578.28</v>
      </c>
      <c r="Q283" s="1">
        <v>49689.29</v>
      </c>
      <c r="R283" s="1">
        <v>4325.81</v>
      </c>
      <c r="S283" s="1">
        <v>44252.87</v>
      </c>
      <c r="T283" s="1">
        <v>4325.81</v>
      </c>
      <c r="U283" s="33">
        <v>4721.24</v>
      </c>
      <c r="V283" s="33">
        <v>4905.81</v>
      </c>
      <c r="W283" s="1">
        <v>5836.72</v>
      </c>
      <c r="X283" s="1">
        <v>4595.81</v>
      </c>
      <c r="Y283" s="1">
        <v>10822.13</v>
      </c>
      <c r="Z283" s="1">
        <v>4775.81</v>
      </c>
      <c r="AA283" s="33">
        <v>5036.09</v>
      </c>
      <c r="AB283" s="33">
        <v>4325.81</v>
      </c>
      <c r="AC283" s="33">
        <v>10791.2</v>
      </c>
      <c r="AD283" s="33">
        <v>4325.81</v>
      </c>
      <c r="AE283" s="33">
        <v>7562.65</v>
      </c>
      <c r="AF283" s="33">
        <v>5045.81</v>
      </c>
      <c r="AG283" s="1">
        <v>2709.29</v>
      </c>
      <c r="AH283" s="1">
        <v>5486.22</v>
      </c>
      <c r="AI283" s="1">
        <v>9309.29</v>
      </c>
      <c r="AJ283" s="1">
        <v>43935.24</v>
      </c>
      <c r="AK283" s="1">
        <v>5196.93</v>
      </c>
      <c r="AL283" s="1">
        <v>4325.81</v>
      </c>
      <c r="AM283" s="9">
        <f t="shared" si="62"/>
        <v>172633.45</v>
      </c>
      <c r="AN283" s="9">
        <f t="shared" si="63"/>
        <v>96952.03</v>
      </c>
      <c r="AO283" s="248">
        <f t="shared" si="64"/>
        <v>269585.48</v>
      </c>
      <c r="AP283" s="10"/>
      <c r="AQ283" s="10"/>
      <c r="AR283" s="10"/>
      <c r="AS283" s="10"/>
      <c r="AT283" s="163">
        <f t="shared" si="70"/>
        <v>269585.48</v>
      </c>
      <c r="AU283" s="2"/>
      <c r="AV283" s="2"/>
      <c r="AW283" s="168">
        <v>4128</v>
      </c>
      <c r="AX283" s="21">
        <f t="shared" si="65"/>
        <v>7499.080000000016</v>
      </c>
      <c r="AY283" s="26">
        <v>289007.89</v>
      </c>
    </row>
    <row r="284" spans="1:51" ht="15.75">
      <c r="A284" s="1">
        <v>276</v>
      </c>
      <c r="B284" s="1" t="s">
        <v>280</v>
      </c>
      <c r="C284" s="1">
        <v>474.5</v>
      </c>
      <c r="D284" s="1">
        <v>0</v>
      </c>
      <c r="E284" s="1">
        <f t="shared" si="69"/>
        <v>474.5</v>
      </c>
      <c r="F284" s="2">
        <v>13</v>
      </c>
      <c r="G284" s="2">
        <f t="shared" si="59"/>
        <v>6168.5</v>
      </c>
      <c r="H284" s="2">
        <f t="shared" si="60"/>
        <v>37011</v>
      </c>
      <c r="I284" s="2">
        <f t="shared" si="71"/>
        <v>13</v>
      </c>
      <c r="J284" s="2">
        <f t="shared" si="68"/>
        <v>6168.5</v>
      </c>
      <c r="K284" s="2">
        <f t="shared" si="61"/>
        <v>37011</v>
      </c>
      <c r="L284" s="13">
        <f t="shared" si="66"/>
        <v>74022</v>
      </c>
      <c r="M284" s="139"/>
      <c r="N284" s="34">
        <f t="shared" si="67"/>
        <v>74022</v>
      </c>
      <c r="O284" s="152">
        <v>0</v>
      </c>
      <c r="P284" s="152">
        <v>4114.44</v>
      </c>
      <c r="Q284" s="1">
        <v>0</v>
      </c>
      <c r="R284" s="1">
        <v>3219.24</v>
      </c>
      <c r="S284" s="1">
        <v>0</v>
      </c>
      <c r="T284" s="1">
        <v>1219.47</v>
      </c>
      <c r="U284" s="33">
        <v>0</v>
      </c>
      <c r="V284" s="33">
        <v>1799.47</v>
      </c>
      <c r="W284" s="1">
        <v>0</v>
      </c>
      <c r="X284" s="1">
        <v>1219.47</v>
      </c>
      <c r="Y284" s="1">
        <v>0</v>
      </c>
      <c r="Z284" s="1">
        <v>1219.47</v>
      </c>
      <c r="AA284" s="33">
        <v>0</v>
      </c>
      <c r="AB284" s="33">
        <v>12057.99</v>
      </c>
      <c r="AC284" s="33">
        <v>0</v>
      </c>
      <c r="AD284" s="33">
        <v>53479.56</v>
      </c>
      <c r="AE284" s="33">
        <v>0</v>
      </c>
      <c r="AF284" s="33">
        <v>1219.47</v>
      </c>
      <c r="AG284" s="1">
        <v>0</v>
      </c>
      <c r="AH284" s="1">
        <v>4626.92</v>
      </c>
      <c r="AI284" s="1">
        <v>0</v>
      </c>
      <c r="AJ284" s="1">
        <v>3466.51</v>
      </c>
      <c r="AK284" s="1">
        <v>0</v>
      </c>
      <c r="AL284" s="1">
        <v>2458.97</v>
      </c>
      <c r="AM284" s="9">
        <f t="shared" si="62"/>
        <v>0</v>
      </c>
      <c r="AN284" s="9">
        <f t="shared" si="63"/>
        <v>90100.97999999998</v>
      </c>
      <c r="AO284" s="248">
        <f t="shared" si="64"/>
        <v>90100.97999999998</v>
      </c>
      <c r="AP284" s="10"/>
      <c r="AQ284" s="10"/>
      <c r="AR284" s="10"/>
      <c r="AS284" s="10"/>
      <c r="AT284" s="163">
        <f t="shared" si="70"/>
        <v>90100.97999999998</v>
      </c>
      <c r="AU284" s="2"/>
      <c r="AV284" s="2"/>
      <c r="AW284" s="168">
        <v>8740</v>
      </c>
      <c r="AX284" s="21">
        <f t="shared" si="65"/>
        <v>-7338.979999999981</v>
      </c>
      <c r="AY284" s="26">
        <v>58900.2</v>
      </c>
    </row>
    <row r="285" spans="1:51" ht="15.75">
      <c r="A285" s="1">
        <v>277</v>
      </c>
      <c r="B285" s="1" t="s">
        <v>281</v>
      </c>
      <c r="C285" s="1">
        <v>1093.5</v>
      </c>
      <c r="D285" s="1">
        <v>0</v>
      </c>
      <c r="E285" s="1">
        <f t="shared" si="69"/>
        <v>1093.5</v>
      </c>
      <c r="F285" s="2">
        <v>14.88</v>
      </c>
      <c r="G285" s="2">
        <f t="shared" si="59"/>
        <v>16271.28</v>
      </c>
      <c r="H285" s="2">
        <f t="shared" si="60"/>
        <v>97627.68000000001</v>
      </c>
      <c r="I285" s="2">
        <f t="shared" si="71"/>
        <v>14.88</v>
      </c>
      <c r="J285" s="2">
        <f t="shared" si="68"/>
        <v>16271.28</v>
      </c>
      <c r="K285" s="2">
        <f t="shared" si="61"/>
        <v>97627.68000000001</v>
      </c>
      <c r="L285" s="13">
        <f t="shared" si="66"/>
        <v>195255.36000000002</v>
      </c>
      <c r="M285" s="139">
        <v>-168502.51</v>
      </c>
      <c r="N285" s="34">
        <f t="shared" si="67"/>
        <v>26752.850000000006</v>
      </c>
      <c r="O285" s="152">
        <v>0</v>
      </c>
      <c r="P285" s="152">
        <v>3040.3</v>
      </c>
      <c r="Q285" s="1">
        <v>2210.63</v>
      </c>
      <c r="R285" s="1">
        <v>3040.3</v>
      </c>
      <c r="S285" s="1">
        <v>20392.88</v>
      </c>
      <c r="T285" s="1">
        <v>14812.73</v>
      </c>
      <c r="U285" s="33">
        <v>55876.46</v>
      </c>
      <c r="V285" s="33">
        <v>4200.3</v>
      </c>
      <c r="W285" s="1">
        <v>25454.75</v>
      </c>
      <c r="X285" s="1">
        <v>13819.15</v>
      </c>
      <c r="Y285" s="1">
        <v>0</v>
      </c>
      <c r="Z285" s="1">
        <v>12229.02</v>
      </c>
      <c r="AA285" s="33">
        <v>0</v>
      </c>
      <c r="AB285" s="33">
        <v>3040.3</v>
      </c>
      <c r="AC285" s="33">
        <v>0</v>
      </c>
      <c r="AD285" s="33">
        <v>8435.17</v>
      </c>
      <c r="AE285" s="33">
        <v>2287.52</v>
      </c>
      <c r="AF285" s="33">
        <v>8524.4</v>
      </c>
      <c r="AG285" s="1">
        <v>0</v>
      </c>
      <c r="AH285" s="1">
        <v>25825.53</v>
      </c>
      <c r="AI285" s="1">
        <v>978.8</v>
      </c>
      <c r="AJ285" s="1">
        <v>3040.3</v>
      </c>
      <c r="AK285" s="1">
        <v>2447.2</v>
      </c>
      <c r="AL285" s="1">
        <v>3040.3</v>
      </c>
      <c r="AM285" s="9">
        <f t="shared" si="62"/>
        <v>109648.24</v>
      </c>
      <c r="AN285" s="9">
        <f t="shared" si="63"/>
        <v>103047.8</v>
      </c>
      <c r="AO285" s="248">
        <f t="shared" si="64"/>
        <v>212696.04</v>
      </c>
      <c r="AP285" s="10">
        <v>2000</v>
      </c>
      <c r="AQ285" s="10"/>
      <c r="AR285" s="10"/>
      <c r="AS285" s="10"/>
      <c r="AT285" s="163">
        <f t="shared" si="70"/>
        <v>214696.04</v>
      </c>
      <c r="AU285" s="2"/>
      <c r="AV285" s="2"/>
      <c r="AW285" s="168"/>
      <c r="AX285" s="21">
        <f t="shared" si="65"/>
        <v>-187943.19</v>
      </c>
      <c r="AY285" s="26">
        <v>322999.63</v>
      </c>
    </row>
    <row r="286" spans="1:51" ht="15.75">
      <c r="A286" s="1">
        <v>278</v>
      </c>
      <c r="B286" s="1" t="s">
        <v>282</v>
      </c>
      <c r="C286" s="1">
        <v>1283.2</v>
      </c>
      <c r="D286" s="1">
        <v>0</v>
      </c>
      <c r="E286" s="1">
        <f t="shared" si="69"/>
        <v>1283.2</v>
      </c>
      <c r="F286" s="2">
        <v>14.88</v>
      </c>
      <c r="G286" s="2">
        <f t="shared" si="59"/>
        <v>19094.016000000003</v>
      </c>
      <c r="H286" s="2">
        <f t="shared" si="60"/>
        <v>114564.09600000002</v>
      </c>
      <c r="I286" s="2">
        <f t="shared" si="71"/>
        <v>14.88</v>
      </c>
      <c r="J286" s="2">
        <f t="shared" si="68"/>
        <v>19094.016000000003</v>
      </c>
      <c r="K286" s="2">
        <f t="shared" si="61"/>
        <v>114564.09600000002</v>
      </c>
      <c r="L286" s="13">
        <f t="shared" si="66"/>
        <v>229128.19200000004</v>
      </c>
      <c r="M286" s="139"/>
      <c r="N286" s="34">
        <f t="shared" si="67"/>
        <v>229128.19200000004</v>
      </c>
      <c r="O286" s="152">
        <v>42318.76</v>
      </c>
      <c r="P286" s="152">
        <v>3527.82</v>
      </c>
      <c r="Q286" s="1">
        <v>10839.15</v>
      </c>
      <c r="R286" s="1">
        <v>3527.82</v>
      </c>
      <c r="S286" s="1">
        <v>50445.11</v>
      </c>
      <c r="T286" s="1">
        <v>3527.82</v>
      </c>
      <c r="U286" s="33">
        <v>2361.09</v>
      </c>
      <c r="V286" s="33">
        <v>4687.82</v>
      </c>
      <c r="W286" s="1">
        <v>40527.83</v>
      </c>
      <c r="X286" s="1">
        <v>5186.24</v>
      </c>
      <c r="Y286" s="1">
        <v>13794.27</v>
      </c>
      <c r="Z286" s="1">
        <v>18088.27</v>
      </c>
      <c r="AA286" s="33">
        <v>5030.14</v>
      </c>
      <c r="AB286" s="33">
        <v>3527.82</v>
      </c>
      <c r="AC286" s="33">
        <v>7758.69</v>
      </c>
      <c r="AD286" s="33">
        <v>3527.82</v>
      </c>
      <c r="AE286" s="33">
        <v>5030.14</v>
      </c>
      <c r="AF286" s="33">
        <v>3527.82</v>
      </c>
      <c r="AG286" s="1">
        <v>2361.09</v>
      </c>
      <c r="AH286" s="1">
        <v>4688.23</v>
      </c>
      <c r="AI286" s="1">
        <v>2361.09</v>
      </c>
      <c r="AJ286" s="1">
        <v>14247.94</v>
      </c>
      <c r="AK286" s="1">
        <v>3584.69</v>
      </c>
      <c r="AL286" s="1">
        <v>4138.31</v>
      </c>
      <c r="AM286" s="9">
        <f t="shared" si="62"/>
        <v>186412.05000000002</v>
      </c>
      <c r="AN286" s="9">
        <f t="shared" si="63"/>
        <v>72203.73</v>
      </c>
      <c r="AO286" s="248">
        <f t="shared" si="64"/>
        <v>258615.78000000003</v>
      </c>
      <c r="AP286" s="10"/>
      <c r="AQ286" s="10"/>
      <c r="AR286" s="10"/>
      <c r="AS286" s="10"/>
      <c r="AT286" s="163">
        <f t="shared" si="70"/>
        <v>258615.78000000003</v>
      </c>
      <c r="AU286" s="2"/>
      <c r="AV286" s="2"/>
      <c r="AW286" s="168">
        <v>4128</v>
      </c>
      <c r="AX286" s="21">
        <f t="shared" si="65"/>
        <v>-25359.58799999999</v>
      </c>
      <c r="AY286" s="26">
        <v>436013.89</v>
      </c>
    </row>
    <row r="287" spans="1:51" ht="15.75">
      <c r="A287" s="1">
        <v>279</v>
      </c>
      <c r="B287" s="1" t="s">
        <v>283</v>
      </c>
      <c r="C287" s="1">
        <v>946.5</v>
      </c>
      <c r="D287" s="1">
        <v>0</v>
      </c>
      <c r="E287" s="1">
        <f t="shared" si="69"/>
        <v>946.5</v>
      </c>
      <c r="F287" s="2">
        <v>14.88</v>
      </c>
      <c r="G287" s="2">
        <f t="shared" si="59"/>
        <v>14083.92</v>
      </c>
      <c r="H287" s="2">
        <f t="shared" si="60"/>
        <v>84503.52</v>
      </c>
      <c r="I287" s="2">
        <f t="shared" si="71"/>
        <v>14.88</v>
      </c>
      <c r="J287" s="2">
        <f t="shared" si="68"/>
        <v>14083.92</v>
      </c>
      <c r="K287" s="2">
        <f t="shared" si="61"/>
        <v>84503.52</v>
      </c>
      <c r="L287" s="13">
        <f t="shared" si="66"/>
        <v>169007.04</v>
      </c>
      <c r="M287" s="139">
        <v>-197038.59</v>
      </c>
      <c r="N287" s="34">
        <f t="shared" si="67"/>
        <v>-28031.54999999999</v>
      </c>
      <c r="O287" s="152">
        <v>0</v>
      </c>
      <c r="P287" s="152">
        <v>2662.51</v>
      </c>
      <c r="Q287" s="1">
        <v>0</v>
      </c>
      <c r="R287" s="1">
        <v>4875.51</v>
      </c>
      <c r="S287" s="1">
        <v>9647.81</v>
      </c>
      <c r="T287" s="1">
        <v>7088.51</v>
      </c>
      <c r="U287" s="33">
        <v>1931.06</v>
      </c>
      <c r="V287" s="33">
        <v>12573.5</v>
      </c>
      <c r="W287" s="1">
        <v>9493.12</v>
      </c>
      <c r="X287" s="1">
        <v>4320.93</v>
      </c>
      <c r="Y287" s="1">
        <v>0</v>
      </c>
      <c r="Z287" s="1">
        <v>14469.57</v>
      </c>
      <c r="AA287" s="33">
        <v>48937.37</v>
      </c>
      <c r="AB287" s="33">
        <v>4875.51</v>
      </c>
      <c r="AC287" s="33">
        <v>5631.27</v>
      </c>
      <c r="AD287" s="33">
        <v>2662.51</v>
      </c>
      <c r="AE287" s="33">
        <v>2887.5</v>
      </c>
      <c r="AF287" s="33">
        <v>2662.51</v>
      </c>
      <c r="AG287" s="1">
        <v>0</v>
      </c>
      <c r="AH287" s="1">
        <v>3822.92</v>
      </c>
      <c r="AI287" s="1">
        <v>6119.03</v>
      </c>
      <c r="AJ287" s="1">
        <v>6453.64</v>
      </c>
      <c r="AK287" s="1">
        <v>1835.4</v>
      </c>
      <c r="AL287" s="1">
        <v>2662.51</v>
      </c>
      <c r="AM287" s="9">
        <f t="shared" si="62"/>
        <v>86482.56</v>
      </c>
      <c r="AN287" s="9">
        <f t="shared" si="63"/>
        <v>69130.13</v>
      </c>
      <c r="AO287" s="248">
        <f t="shared" si="64"/>
        <v>155612.69</v>
      </c>
      <c r="AP287" s="10"/>
      <c r="AQ287" s="10"/>
      <c r="AR287" s="10"/>
      <c r="AS287" s="10"/>
      <c r="AT287" s="163">
        <f t="shared" si="70"/>
        <v>155612.69</v>
      </c>
      <c r="AU287" s="2"/>
      <c r="AV287" s="2"/>
      <c r="AW287" s="168">
        <v>2408</v>
      </c>
      <c r="AX287" s="21">
        <f t="shared" si="65"/>
        <v>-181236.24</v>
      </c>
      <c r="AY287" s="26">
        <f>177471.19+9158</f>
        <v>186629.19</v>
      </c>
    </row>
    <row r="288" spans="1:51" ht="15.75">
      <c r="A288" s="1">
        <v>280</v>
      </c>
      <c r="B288" s="1" t="s">
        <v>284</v>
      </c>
      <c r="C288" s="1">
        <v>525.5</v>
      </c>
      <c r="D288" s="1">
        <v>0</v>
      </c>
      <c r="E288" s="1">
        <f t="shared" si="69"/>
        <v>525.5</v>
      </c>
      <c r="F288" s="2">
        <v>13.11</v>
      </c>
      <c r="G288" s="2">
        <f t="shared" si="59"/>
        <v>6889.304999999999</v>
      </c>
      <c r="H288" s="2">
        <f t="shared" si="60"/>
        <v>41335.829999999994</v>
      </c>
      <c r="I288" s="2">
        <f t="shared" si="71"/>
        <v>13.11</v>
      </c>
      <c r="J288" s="2">
        <f t="shared" si="68"/>
        <v>6889.304999999999</v>
      </c>
      <c r="K288" s="2">
        <f t="shared" si="61"/>
        <v>41335.829999999994</v>
      </c>
      <c r="L288" s="13">
        <f t="shared" si="66"/>
        <v>82671.65999999999</v>
      </c>
      <c r="M288" s="139">
        <v>-6241.05</v>
      </c>
      <c r="N288" s="34">
        <f t="shared" si="67"/>
        <v>76430.60999999999</v>
      </c>
      <c r="O288" s="152">
        <v>0</v>
      </c>
      <c r="P288" s="152">
        <v>1580.54</v>
      </c>
      <c r="Q288" s="1">
        <v>0</v>
      </c>
      <c r="R288" s="1">
        <v>1580.54</v>
      </c>
      <c r="S288" s="1">
        <v>0</v>
      </c>
      <c r="T288" s="1">
        <v>1580.54</v>
      </c>
      <c r="U288" s="33">
        <v>5400</v>
      </c>
      <c r="V288" s="33">
        <v>2160.54</v>
      </c>
      <c r="W288" s="1">
        <v>0</v>
      </c>
      <c r="X288" s="1">
        <v>1580.54</v>
      </c>
      <c r="Y288" s="1">
        <v>0</v>
      </c>
      <c r="Z288" s="1">
        <v>13556.67</v>
      </c>
      <c r="AA288" s="33">
        <v>0</v>
      </c>
      <c r="AB288" s="33">
        <v>1580.54</v>
      </c>
      <c r="AC288" s="33">
        <v>0</v>
      </c>
      <c r="AD288" s="33">
        <v>1580.54</v>
      </c>
      <c r="AE288" s="33">
        <v>0</v>
      </c>
      <c r="AF288" s="33">
        <v>1580.54</v>
      </c>
      <c r="AG288" s="1">
        <v>5433.46</v>
      </c>
      <c r="AH288" s="1">
        <v>2740.95</v>
      </c>
      <c r="AI288" s="1">
        <v>0</v>
      </c>
      <c r="AJ288" s="1">
        <v>1580.54</v>
      </c>
      <c r="AK288" s="1">
        <v>0</v>
      </c>
      <c r="AL288" s="1">
        <v>1580.54</v>
      </c>
      <c r="AM288" s="9">
        <f t="shared" si="62"/>
        <v>10833.46</v>
      </c>
      <c r="AN288" s="9">
        <f t="shared" si="63"/>
        <v>32683.020000000008</v>
      </c>
      <c r="AO288" s="248">
        <f t="shared" si="64"/>
        <v>43516.48000000001</v>
      </c>
      <c r="AP288" s="10"/>
      <c r="AQ288" s="10"/>
      <c r="AR288" s="10"/>
      <c r="AS288" s="10"/>
      <c r="AT288" s="163">
        <f t="shared" si="70"/>
        <v>43516.48000000001</v>
      </c>
      <c r="AU288" s="2"/>
      <c r="AV288" s="2"/>
      <c r="AW288" s="168"/>
      <c r="AX288" s="21">
        <f t="shared" si="65"/>
        <v>32914.129999999976</v>
      </c>
      <c r="AY288" s="26">
        <v>188717.8</v>
      </c>
    </row>
    <row r="289" spans="1:51" ht="15.75">
      <c r="A289" s="1">
        <v>281</v>
      </c>
      <c r="B289" s="101" t="s">
        <v>480</v>
      </c>
      <c r="C289" s="1">
        <v>1842.1</v>
      </c>
      <c r="D289" s="1">
        <v>0</v>
      </c>
      <c r="E289" s="1">
        <f t="shared" si="69"/>
        <v>1842.1</v>
      </c>
      <c r="F289" s="2">
        <v>14.36</v>
      </c>
      <c r="G289" s="2">
        <f t="shared" si="59"/>
        <v>26452.555999999997</v>
      </c>
      <c r="H289" s="2">
        <f t="shared" si="60"/>
        <v>158715.33599999998</v>
      </c>
      <c r="I289" s="2">
        <f t="shared" si="71"/>
        <v>14.36</v>
      </c>
      <c r="J289" s="2">
        <f t="shared" si="68"/>
        <v>26452.555999999997</v>
      </c>
      <c r="K289" s="143">
        <f>J289*3</f>
        <v>79357.66799999999</v>
      </c>
      <c r="L289" s="13">
        <f t="shared" si="66"/>
        <v>238073.00399999996</v>
      </c>
      <c r="M289" s="139"/>
      <c r="N289" s="34">
        <f t="shared" si="67"/>
        <v>238073.00399999996</v>
      </c>
      <c r="O289" s="152">
        <v>3131.4</v>
      </c>
      <c r="P289" s="152">
        <v>4963.94</v>
      </c>
      <c r="Q289" s="1">
        <v>25471.12</v>
      </c>
      <c r="R289" s="1">
        <v>4963.94</v>
      </c>
      <c r="S289" s="1">
        <v>3131.4</v>
      </c>
      <c r="T289" s="1">
        <v>4963.94</v>
      </c>
      <c r="U289" s="33">
        <v>3131.4</v>
      </c>
      <c r="V289" s="33">
        <v>6123.94</v>
      </c>
      <c r="W289" s="1">
        <v>6146.48</v>
      </c>
      <c r="X289" s="1">
        <v>4963.94</v>
      </c>
      <c r="Y289" s="1">
        <v>5820.72</v>
      </c>
      <c r="Z289" s="1">
        <v>4963.94</v>
      </c>
      <c r="AA289" s="33">
        <v>94344.83</v>
      </c>
      <c r="AB289" s="33">
        <v>4963.94</v>
      </c>
      <c r="AC289" s="33">
        <v>84002.6</v>
      </c>
      <c r="AD289" s="33">
        <v>11855.48</v>
      </c>
      <c r="AE289" s="33">
        <v>5820.72</v>
      </c>
      <c r="AF289" s="33">
        <v>4963.94</v>
      </c>
      <c r="AG289" s="183">
        <v>0</v>
      </c>
      <c r="AH289" s="183">
        <v>0</v>
      </c>
      <c r="AI289" s="183">
        <v>0</v>
      </c>
      <c r="AJ289" s="183">
        <v>0</v>
      </c>
      <c r="AK289" s="183">
        <v>0</v>
      </c>
      <c r="AL289" s="183">
        <v>0</v>
      </c>
      <c r="AM289" s="9">
        <f t="shared" si="62"/>
        <v>231000.67</v>
      </c>
      <c r="AN289" s="9">
        <f t="shared" si="63"/>
        <v>52727</v>
      </c>
      <c r="AO289" s="248">
        <f t="shared" si="64"/>
        <v>283727.67000000004</v>
      </c>
      <c r="AP289" s="10">
        <v>2700</v>
      </c>
      <c r="AQ289" s="10">
        <f>9380-1595.38</f>
        <v>7784.62</v>
      </c>
      <c r="AR289" s="10"/>
      <c r="AS289" s="10"/>
      <c r="AT289" s="163">
        <f t="shared" si="70"/>
        <v>294212.29000000004</v>
      </c>
      <c r="AU289" s="2"/>
      <c r="AV289" s="2"/>
      <c r="AW289" s="168">
        <v>3096</v>
      </c>
      <c r="AX289" s="21">
        <f t="shared" si="65"/>
        <v>-53043.28600000008</v>
      </c>
      <c r="AY289" s="189">
        <v>132125.22</v>
      </c>
    </row>
    <row r="290" spans="1:51" ht="15.75">
      <c r="A290" s="1">
        <v>282</v>
      </c>
      <c r="B290" s="1" t="s">
        <v>285</v>
      </c>
      <c r="C290" s="1">
        <v>4897.4</v>
      </c>
      <c r="D290" s="1">
        <v>0</v>
      </c>
      <c r="E290" s="1">
        <f t="shared" si="69"/>
        <v>4897.4</v>
      </c>
      <c r="F290" s="2">
        <v>14.97</v>
      </c>
      <c r="G290" s="2">
        <f t="shared" si="59"/>
        <v>73314.078</v>
      </c>
      <c r="H290" s="2">
        <f t="shared" si="60"/>
        <v>439884.468</v>
      </c>
      <c r="I290" s="2">
        <f t="shared" si="71"/>
        <v>14.97</v>
      </c>
      <c r="J290" s="2">
        <f t="shared" si="68"/>
        <v>73314.078</v>
      </c>
      <c r="K290" s="2">
        <f t="shared" si="61"/>
        <v>439884.468</v>
      </c>
      <c r="L290" s="13">
        <f t="shared" si="66"/>
        <v>879768.936</v>
      </c>
      <c r="M290" s="139">
        <v>-34799.18</v>
      </c>
      <c r="N290" s="34">
        <f t="shared" si="67"/>
        <v>844969.7559999999</v>
      </c>
      <c r="O290" s="152">
        <v>0</v>
      </c>
      <c r="P290" s="152">
        <v>33587.55</v>
      </c>
      <c r="Q290" s="1">
        <v>0</v>
      </c>
      <c r="R290" s="1">
        <v>25776.01</v>
      </c>
      <c r="S290" s="1">
        <v>0</v>
      </c>
      <c r="T290" s="1">
        <v>146322.43</v>
      </c>
      <c r="U290" s="33">
        <v>0</v>
      </c>
      <c r="V290" s="33">
        <v>60954.91</v>
      </c>
      <c r="W290" s="1">
        <v>0</v>
      </c>
      <c r="X290" s="1">
        <v>71025.32</v>
      </c>
      <c r="Y290" s="1">
        <v>0</v>
      </c>
      <c r="Z290" s="1">
        <v>68497.72</v>
      </c>
      <c r="AA290" s="33">
        <v>0</v>
      </c>
      <c r="AB290" s="33">
        <v>42727.46</v>
      </c>
      <c r="AC290" s="33">
        <v>0</v>
      </c>
      <c r="AD290" s="33">
        <v>136102.35</v>
      </c>
      <c r="AE290" s="33">
        <v>0</v>
      </c>
      <c r="AF290" s="33">
        <v>66451.18</v>
      </c>
      <c r="AG290" s="1">
        <v>0</v>
      </c>
      <c r="AH290" s="1">
        <v>81112.87</v>
      </c>
      <c r="AI290" s="1">
        <v>0</v>
      </c>
      <c r="AJ290" s="1">
        <v>34733.8</v>
      </c>
      <c r="AK290" s="1">
        <v>0</v>
      </c>
      <c r="AL290" s="1">
        <v>96052.13</v>
      </c>
      <c r="AM290" s="9">
        <f t="shared" si="62"/>
        <v>0</v>
      </c>
      <c r="AN290" s="9">
        <f t="shared" si="63"/>
        <v>863343.7300000002</v>
      </c>
      <c r="AO290" s="248">
        <f t="shared" si="64"/>
        <v>863343.7300000002</v>
      </c>
      <c r="AP290" s="10">
        <v>2578</v>
      </c>
      <c r="AQ290" s="10">
        <f>(382507.04-50431.11)+(129606.38-58941.07)</f>
        <v>402741.24</v>
      </c>
      <c r="AR290" s="10"/>
      <c r="AS290" s="10"/>
      <c r="AT290" s="163">
        <f t="shared" si="70"/>
        <v>1268662.9700000002</v>
      </c>
      <c r="AU290" s="2"/>
      <c r="AV290" s="2"/>
      <c r="AW290" s="168">
        <v>2408</v>
      </c>
      <c r="AX290" s="21">
        <f t="shared" si="65"/>
        <v>-421285.21400000027</v>
      </c>
      <c r="AY290" s="26">
        <v>124518.84</v>
      </c>
    </row>
    <row r="291" spans="1:51" ht="15.75">
      <c r="A291" s="1">
        <v>283</v>
      </c>
      <c r="B291" s="1" t="s">
        <v>286</v>
      </c>
      <c r="C291" s="1">
        <v>1266.4</v>
      </c>
      <c r="D291" s="1">
        <v>0</v>
      </c>
      <c r="E291" s="1">
        <f t="shared" si="69"/>
        <v>1266.4</v>
      </c>
      <c r="F291" s="2">
        <v>14.87</v>
      </c>
      <c r="G291" s="2">
        <f t="shared" si="59"/>
        <v>18831.368</v>
      </c>
      <c r="H291" s="2">
        <f t="shared" si="60"/>
        <v>112988.20799999998</v>
      </c>
      <c r="I291" s="2">
        <f t="shared" si="71"/>
        <v>14.87</v>
      </c>
      <c r="J291" s="2">
        <f t="shared" si="68"/>
        <v>18831.368</v>
      </c>
      <c r="K291" s="2">
        <f t="shared" si="61"/>
        <v>112988.20799999998</v>
      </c>
      <c r="L291" s="13">
        <f t="shared" si="66"/>
        <v>225976.41599999997</v>
      </c>
      <c r="M291" s="139"/>
      <c r="N291" s="34">
        <f t="shared" si="67"/>
        <v>225976.41599999997</v>
      </c>
      <c r="O291" s="152">
        <v>0</v>
      </c>
      <c r="P291" s="152">
        <v>18095.53</v>
      </c>
      <c r="Q291" s="1">
        <v>0</v>
      </c>
      <c r="R291" s="1">
        <v>20010.87</v>
      </c>
      <c r="S291" s="1">
        <v>0</v>
      </c>
      <c r="T291" s="1">
        <v>16012.45</v>
      </c>
      <c r="U291" s="33">
        <v>0</v>
      </c>
      <c r="V291" s="33">
        <v>14818.16</v>
      </c>
      <c r="W291" s="1">
        <v>0</v>
      </c>
      <c r="X291" s="1">
        <v>7716.47</v>
      </c>
      <c r="Y291" s="1">
        <v>0</v>
      </c>
      <c r="Z291" s="1">
        <v>7716.47</v>
      </c>
      <c r="AA291" s="33">
        <v>0</v>
      </c>
      <c r="AB291" s="33">
        <v>9272.22</v>
      </c>
      <c r="AC291" s="33">
        <v>0</v>
      </c>
      <c r="AD291" s="33">
        <v>15838.93</v>
      </c>
      <c r="AE291" s="33">
        <v>0</v>
      </c>
      <c r="AF291" s="33">
        <v>70650.8</v>
      </c>
      <c r="AG291" s="1">
        <v>0</v>
      </c>
      <c r="AH291" s="1">
        <v>20923.52</v>
      </c>
      <c r="AI291" s="1">
        <v>0</v>
      </c>
      <c r="AJ291" s="1">
        <v>6963.72</v>
      </c>
      <c r="AK291" s="1">
        <v>0</v>
      </c>
      <c r="AL291" s="1">
        <v>63926.81</v>
      </c>
      <c r="AM291" s="9">
        <f t="shared" si="62"/>
        <v>0</v>
      </c>
      <c r="AN291" s="9">
        <f t="shared" si="63"/>
        <v>271945.95</v>
      </c>
      <c r="AO291" s="248">
        <f t="shared" si="64"/>
        <v>271945.95</v>
      </c>
      <c r="AP291" s="10"/>
      <c r="AQ291" s="10"/>
      <c r="AR291" s="10">
        <v>645.65</v>
      </c>
      <c r="AS291" s="10"/>
      <c r="AT291" s="163">
        <f t="shared" si="70"/>
        <v>272591.60000000003</v>
      </c>
      <c r="AU291" s="2"/>
      <c r="AV291" s="2"/>
      <c r="AW291" s="168">
        <v>2408</v>
      </c>
      <c r="AX291" s="21">
        <f t="shared" si="65"/>
        <v>-44207.18400000007</v>
      </c>
      <c r="AY291" s="26">
        <v>1015240.23</v>
      </c>
    </row>
    <row r="292" spans="1:51" ht="15.75">
      <c r="A292" s="1">
        <v>284</v>
      </c>
      <c r="B292" s="1" t="s">
        <v>287</v>
      </c>
      <c r="C292" s="1">
        <v>487</v>
      </c>
      <c r="D292" s="1">
        <v>0</v>
      </c>
      <c r="E292" s="1">
        <f t="shared" si="69"/>
        <v>487</v>
      </c>
      <c r="F292" s="2">
        <v>11.22</v>
      </c>
      <c r="G292" s="2">
        <f t="shared" si="59"/>
        <v>5464.14</v>
      </c>
      <c r="H292" s="2">
        <f t="shared" si="60"/>
        <v>32784.840000000004</v>
      </c>
      <c r="I292" s="2">
        <f t="shared" si="71"/>
        <v>11.22</v>
      </c>
      <c r="J292" s="2">
        <f t="shared" si="68"/>
        <v>5464.14</v>
      </c>
      <c r="K292" s="2">
        <f t="shared" si="61"/>
        <v>32784.840000000004</v>
      </c>
      <c r="L292" s="13">
        <f t="shared" si="66"/>
        <v>65569.68000000001</v>
      </c>
      <c r="M292" s="139"/>
      <c r="N292" s="34">
        <f t="shared" si="67"/>
        <v>65569.68000000001</v>
      </c>
      <c r="O292" s="152">
        <v>0</v>
      </c>
      <c r="P292" s="152">
        <v>5092.52</v>
      </c>
      <c r="Q292" s="1">
        <v>0</v>
      </c>
      <c r="R292" s="1">
        <v>3734.06</v>
      </c>
      <c r="S292" s="1">
        <v>0</v>
      </c>
      <c r="T292" s="1">
        <v>1481.59</v>
      </c>
      <c r="U292" s="33">
        <v>0</v>
      </c>
      <c r="V292" s="33">
        <v>2061.59</v>
      </c>
      <c r="W292" s="1">
        <v>0</v>
      </c>
      <c r="X292" s="1">
        <v>1481.59</v>
      </c>
      <c r="Y292" s="1">
        <v>0</v>
      </c>
      <c r="Z292" s="1">
        <v>9461.59</v>
      </c>
      <c r="AA292" s="33">
        <v>0</v>
      </c>
      <c r="AB292" s="33">
        <v>1481.59</v>
      </c>
      <c r="AC292" s="33">
        <v>0</v>
      </c>
      <c r="AD292" s="33">
        <v>1481.59</v>
      </c>
      <c r="AE292" s="33">
        <v>0</v>
      </c>
      <c r="AF292" s="33">
        <v>9748.9</v>
      </c>
      <c r="AG292" s="1">
        <v>0</v>
      </c>
      <c r="AH292" s="1">
        <v>2642</v>
      </c>
      <c r="AI292" s="1">
        <v>0</v>
      </c>
      <c r="AJ292" s="1">
        <v>1481.59</v>
      </c>
      <c r="AK292" s="1">
        <v>0</v>
      </c>
      <c r="AL292" s="1">
        <v>3479.61</v>
      </c>
      <c r="AM292" s="9">
        <f t="shared" si="62"/>
        <v>0</v>
      </c>
      <c r="AN292" s="9">
        <f t="shared" si="63"/>
        <v>43628.22</v>
      </c>
      <c r="AO292" s="248">
        <f t="shared" si="64"/>
        <v>43628.22</v>
      </c>
      <c r="AP292" s="10"/>
      <c r="AQ292" s="10"/>
      <c r="AR292" s="10"/>
      <c r="AS292" s="10"/>
      <c r="AT292" s="163">
        <f t="shared" si="70"/>
        <v>43628.22</v>
      </c>
      <c r="AU292" s="2"/>
      <c r="AV292" s="2"/>
      <c r="AW292" s="168"/>
      <c r="AX292" s="21">
        <f t="shared" si="65"/>
        <v>21941.460000000006</v>
      </c>
      <c r="AY292" s="26">
        <v>42347.55</v>
      </c>
    </row>
    <row r="293" spans="1:51" ht="15.75">
      <c r="A293" s="1">
        <v>285</v>
      </c>
      <c r="B293" s="1" t="s">
        <v>288</v>
      </c>
      <c r="C293" s="1">
        <v>482.1</v>
      </c>
      <c r="D293" s="1">
        <v>0</v>
      </c>
      <c r="E293" s="1">
        <f t="shared" si="69"/>
        <v>482.1</v>
      </c>
      <c r="F293" s="2">
        <v>13.72</v>
      </c>
      <c r="G293" s="2">
        <f t="shared" si="59"/>
        <v>6614.412</v>
      </c>
      <c r="H293" s="2">
        <f t="shared" si="60"/>
        <v>39686.472</v>
      </c>
      <c r="I293" s="2">
        <f t="shared" si="71"/>
        <v>13.72</v>
      </c>
      <c r="J293" s="2">
        <f t="shared" si="68"/>
        <v>6614.412</v>
      </c>
      <c r="K293" s="2">
        <f t="shared" si="61"/>
        <v>39686.472</v>
      </c>
      <c r="L293" s="13">
        <f t="shared" si="66"/>
        <v>79372.944</v>
      </c>
      <c r="M293" s="139"/>
      <c r="N293" s="34">
        <f t="shared" si="67"/>
        <v>79372.944</v>
      </c>
      <c r="O293" s="152">
        <v>0</v>
      </c>
      <c r="P293" s="152">
        <v>2288.57</v>
      </c>
      <c r="Q293" s="1">
        <v>0</v>
      </c>
      <c r="R293" s="1">
        <v>2288.57</v>
      </c>
      <c r="S293" s="1">
        <v>0</v>
      </c>
      <c r="T293" s="1">
        <v>2288.57</v>
      </c>
      <c r="U293" s="33">
        <v>0</v>
      </c>
      <c r="V293" s="33">
        <v>33238.56</v>
      </c>
      <c r="W293" s="1">
        <v>0</v>
      </c>
      <c r="X293" s="1">
        <v>2992.43</v>
      </c>
      <c r="Y293" s="1">
        <v>0</v>
      </c>
      <c r="Z293" s="1">
        <v>24842.43</v>
      </c>
      <c r="AA293" s="33">
        <v>0</v>
      </c>
      <c r="AB293" s="33">
        <v>74596.03</v>
      </c>
      <c r="AC293" s="33">
        <v>0</v>
      </c>
      <c r="AD293" s="33">
        <v>2992.43</v>
      </c>
      <c r="AE293" s="33">
        <v>0</v>
      </c>
      <c r="AF293" s="33">
        <v>2992.43</v>
      </c>
      <c r="AG293" s="1">
        <v>0</v>
      </c>
      <c r="AH293" s="1">
        <v>3448.98</v>
      </c>
      <c r="AI293" s="1">
        <v>0</v>
      </c>
      <c r="AJ293" s="1">
        <v>2288.57</v>
      </c>
      <c r="AK293" s="1">
        <v>0</v>
      </c>
      <c r="AL293" s="1">
        <v>1469</v>
      </c>
      <c r="AM293" s="9">
        <f t="shared" si="62"/>
        <v>0</v>
      </c>
      <c r="AN293" s="9">
        <f t="shared" si="63"/>
        <v>155726.57</v>
      </c>
      <c r="AO293" s="248">
        <f t="shared" si="64"/>
        <v>155726.57</v>
      </c>
      <c r="AP293" s="10"/>
      <c r="AQ293" s="10"/>
      <c r="AR293" s="10"/>
      <c r="AS293" s="10"/>
      <c r="AT293" s="163">
        <f t="shared" si="70"/>
        <v>155726.57</v>
      </c>
      <c r="AU293" s="2"/>
      <c r="AV293" s="2"/>
      <c r="AW293" s="168"/>
      <c r="AX293" s="21">
        <f t="shared" si="65"/>
        <v>-76353.626</v>
      </c>
      <c r="AY293" s="26">
        <v>111976.59</v>
      </c>
    </row>
    <row r="294" spans="1:51" ht="15.75">
      <c r="A294" s="1">
        <v>286</v>
      </c>
      <c r="B294" s="1" t="s">
        <v>289</v>
      </c>
      <c r="C294" s="1">
        <v>342.3</v>
      </c>
      <c r="D294" s="1">
        <v>116.8</v>
      </c>
      <c r="E294" s="1">
        <f t="shared" si="69"/>
        <v>459.1</v>
      </c>
      <c r="F294" s="2">
        <v>13.72</v>
      </c>
      <c r="G294" s="2">
        <f aca="true" t="shared" si="72" ref="G294:G320">E294*F294</f>
        <v>6298.852000000001</v>
      </c>
      <c r="H294" s="2">
        <f t="shared" si="60"/>
        <v>37793.11200000001</v>
      </c>
      <c r="I294" s="2">
        <f t="shared" si="71"/>
        <v>13.72</v>
      </c>
      <c r="J294" s="2">
        <f t="shared" si="68"/>
        <v>6298.852000000001</v>
      </c>
      <c r="K294" s="2">
        <f t="shared" si="61"/>
        <v>37793.11200000001</v>
      </c>
      <c r="L294" s="13">
        <f t="shared" si="66"/>
        <v>75586.22400000002</v>
      </c>
      <c r="M294" s="139">
        <v>-40630.93</v>
      </c>
      <c r="N294" s="34">
        <f t="shared" si="67"/>
        <v>34955.294000000016</v>
      </c>
      <c r="O294" s="152">
        <v>0</v>
      </c>
      <c r="P294" s="152">
        <v>53239.89</v>
      </c>
      <c r="Q294" s="1">
        <v>0</v>
      </c>
      <c r="R294" s="1">
        <v>1179.89</v>
      </c>
      <c r="S294" s="1">
        <v>0</v>
      </c>
      <c r="T294" s="1">
        <v>1179.89</v>
      </c>
      <c r="U294" s="33">
        <v>0</v>
      </c>
      <c r="V294" s="33">
        <v>1759.89</v>
      </c>
      <c r="W294" s="1">
        <v>0</v>
      </c>
      <c r="X294" s="1">
        <v>1179.89</v>
      </c>
      <c r="Y294" s="1">
        <v>0</v>
      </c>
      <c r="Z294" s="1">
        <v>20749.89</v>
      </c>
      <c r="AA294" s="33">
        <v>0</v>
      </c>
      <c r="AB294" s="33">
        <v>9285.99</v>
      </c>
      <c r="AC294" s="33">
        <v>0</v>
      </c>
      <c r="AD294" s="33">
        <v>1873.04</v>
      </c>
      <c r="AE294" s="33">
        <v>0</v>
      </c>
      <c r="AF294" s="33">
        <v>1179.89</v>
      </c>
      <c r="AG294" s="1">
        <v>0</v>
      </c>
      <c r="AH294" s="1">
        <v>2340.3</v>
      </c>
      <c r="AI294" s="1">
        <v>0</v>
      </c>
      <c r="AJ294" s="1">
        <v>1179.89</v>
      </c>
      <c r="AK294" s="1">
        <v>0</v>
      </c>
      <c r="AL294" s="1">
        <v>1179.89</v>
      </c>
      <c r="AM294" s="9">
        <f t="shared" si="62"/>
        <v>0</v>
      </c>
      <c r="AN294" s="9">
        <f t="shared" si="63"/>
        <v>96328.34</v>
      </c>
      <c r="AO294" s="248">
        <f t="shared" si="64"/>
        <v>96328.34</v>
      </c>
      <c r="AP294" s="10"/>
      <c r="AQ294" s="10"/>
      <c r="AR294" s="10"/>
      <c r="AS294" s="10"/>
      <c r="AT294" s="163">
        <f t="shared" si="70"/>
        <v>96328.34</v>
      </c>
      <c r="AU294" s="2"/>
      <c r="AV294" s="2"/>
      <c r="AW294" s="168"/>
      <c r="AX294" s="21">
        <f t="shared" si="65"/>
        <v>-61373.04599999998</v>
      </c>
      <c r="AY294" s="26">
        <v>41412.66</v>
      </c>
    </row>
    <row r="295" spans="1:51" ht="15.75">
      <c r="A295" s="1">
        <v>287</v>
      </c>
      <c r="B295" s="1" t="s">
        <v>346</v>
      </c>
      <c r="C295" s="1">
        <v>2165.8</v>
      </c>
      <c r="D295" s="1">
        <v>0</v>
      </c>
      <c r="E295" s="1">
        <f t="shared" si="69"/>
        <v>2165.8</v>
      </c>
      <c r="F295" s="2">
        <v>13.02</v>
      </c>
      <c r="G295" s="2">
        <f t="shared" si="72"/>
        <v>28198.716</v>
      </c>
      <c r="H295" s="2">
        <f t="shared" si="60"/>
        <v>169192.296</v>
      </c>
      <c r="I295" s="2">
        <f t="shared" si="71"/>
        <v>13.02</v>
      </c>
      <c r="J295" s="2">
        <f t="shared" si="68"/>
        <v>28198.716</v>
      </c>
      <c r="K295" s="2">
        <f t="shared" si="61"/>
        <v>169192.296</v>
      </c>
      <c r="L295" s="13">
        <f t="shared" si="66"/>
        <v>338384.592</v>
      </c>
      <c r="M295" s="139">
        <v>-87787.84</v>
      </c>
      <c r="N295" s="34">
        <f t="shared" si="67"/>
        <v>250596.752</v>
      </c>
      <c r="O295" s="152">
        <v>3984.89</v>
      </c>
      <c r="P295" s="152">
        <v>5795.85</v>
      </c>
      <c r="Q295" s="1">
        <v>9851.53</v>
      </c>
      <c r="R295" s="1">
        <v>5795.85</v>
      </c>
      <c r="S295" s="1">
        <v>128016.78</v>
      </c>
      <c r="T295" s="1">
        <v>5795.85</v>
      </c>
      <c r="U295" s="33">
        <v>3984.89</v>
      </c>
      <c r="V295" s="33">
        <v>6955.85</v>
      </c>
      <c r="W295" s="1">
        <v>16878.4</v>
      </c>
      <c r="X295" s="1">
        <v>5795.85</v>
      </c>
      <c r="Y295" s="1">
        <v>12406.36</v>
      </c>
      <c r="Z295" s="1">
        <v>9722.85</v>
      </c>
      <c r="AA295" s="33">
        <v>16651.03</v>
      </c>
      <c r="AB295" s="33">
        <v>5795.85</v>
      </c>
      <c r="AC295" s="33">
        <v>8943.09</v>
      </c>
      <c r="AD295" s="33">
        <v>5795.85</v>
      </c>
      <c r="AE295" s="33">
        <v>18542.67</v>
      </c>
      <c r="AF295" s="33">
        <v>5795.85</v>
      </c>
      <c r="AG295" s="1">
        <v>13717.43</v>
      </c>
      <c r="AH295" s="1">
        <v>11758.42</v>
      </c>
      <c r="AI295" s="1">
        <v>3984.89</v>
      </c>
      <c r="AJ295" s="1">
        <v>8093.85</v>
      </c>
      <c r="AK295" s="1">
        <v>5455.58</v>
      </c>
      <c r="AL295" s="1">
        <v>5975.85</v>
      </c>
      <c r="AM295" s="9">
        <f t="shared" si="62"/>
        <v>242417.54</v>
      </c>
      <c r="AN295" s="9">
        <f t="shared" si="63"/>
        <v>83077.77</v>
      </c>
      <c r="AO295" s="248">
        <f t="shared" si="64"/>
        <v>325495.31</v>
      </c>
      <c r="AP295" s="10"/>
      <c r="AQ295" s="10"/>
      <c r="AR295" s="10">
        <v>1104.14</v>
      </c>
      <c r="AS295" s="10"/>
      <c r="AT295" s="163">
        <f t="shared" si="70"/>
        <v>326599.45</v>
      </c>
      <c r="AU295" s="2"/>
      <c r="AV295" s="2"/>
      <c r="AW295" s="168"/>
      <c r="AX295" s="21">
        <f t="shared" si="65"/>
        <v>-76002.698</v>
      </c>
      <c r="AY295" s="26">
        <v>396495.88</v>
      </c>
    </row>
    <row r="296" spans="1:51" ht="15.75">
      <c r="A296" s="1">
        <v>288</v>
      </c>
      <c r="B296" s="1" t="s">
        <v>341</v>
      </c>
      <c r="C296" s="1">
        <v>2027.6</v>
      </c>
      <c r="D296" s="1">
        <v>0</v>
      </c>
      <c r="E296" s="1">
        <f t="shared" si="69"/>
        <v>2027.6</v>
      </c>
      <c r="F296" s="2">
        <v>13.02</v>
      </c>
      <c r="G296" s="2">
        <f t="shared" si="72"/>
        <v>26399.352</v>
      </c>
      <c r="H296" s="2">
        <f t="shared" si="60"/>
        <v>158396.112</v>
      </c>
      <c r="I296" s="2">
        <f t="shared" si="71"/>
        <v>13.02</v>
      </c>
      <c r="J296" s="2">
        <f t="shared" si="68"/>
        <v>26399.352</v>
      </c>
      <c r="K296" s="2">
        <f t="shared" si="61"/>
        <v>158396.112</v>
      </c>
      <c r="L296" s="13">
        <f t="shared" si="66"/>
        <v>316792.224</v>
      </c>
      <c r="M296" s="139"/>
      <c r="N296" s="34">
        <f t="shared" si="67"/>
        <v>316792.224</v>
      </c>
      <c r="O296" s="152">
        <v>3730.78</v>
      </c>
      <c r="P296" s="152">
        <v>5440.93</v>
      </c>
      <c r="Q296" s="1">
        <v>9266.99</v>
      </c>
      <c r="R296" s="1">
        <v>7693.4</v>
      </c>
      <c r="S296" s="1">
        <v>69680.52</v>
      </c>
      <c r="T296" s="1">
        <v>5440.93</v>
      </c>
      <c r="U296" s="33">
        <v>6273.11</v>
      </c>
      <c r="V296" s="33">
        <v>6600.93</v>
      </c>
      <c r="W296" s="1">
        <v>7948.19</v>
      </c>
      <c r="X296" s="1">
        <v>5440.93</v>
      </c>
      <c r="Y296" s="1">
        <v>11865.01</v>
      </c>
      <c r="Z296" s="1">
        <v>5440.93</v>
      </c>
      <c r="AA296" s="33">
        <v>12485.8</v>
      </c>
      <c r="AB296" s="33">
        <v>5440.93</v>
      </c>
      <c r="AC296" s="33">
        <v>8807.47</v>
      </c>
      <c r="AD296" s="33">
        <v>5440.93</v>
      </c>
      <c r="AE296" s="33">
        <v>24479.65</v>
      </c>
      <c r="AF296" s="33">
        <v>5440.93</v>
      </c>
      <c r="AG296" s="1">
        <v>8302.66</v>
      </c>
      <c r="AH296" s="1">
        <v>13365.22</v>
      </c>
      <c r="AI296" s="1">
        <v>13772.34</v>
      </c>
      <c r="AJ296" s="1">
        <v>5440.93</v>
      </c>
      <c r="AK296" s="1">
        <v>5421.12</v>
      </c>
      <c r="AL296" s="1">
        <v>17022.99</v>
      </c>
      <c r="AM296" s="9">
        <f t="shared" si="62"/>
        <v>182033.64</v>
      </c>
      <c r="AN296" s="9">
        <f t="shared" si="63"/>
        <v>88209.98</v>
      </c>
      <c r="AO296" s="248">
        <f t="shared" si="64"/>
        <v>270243.62</v>
      </c>
      <c r="AP296" s="10"/>
      <c r="AQ296" s="10"/>
      <c r="AR296" s="10">
        <v>1033.73</v>
      </c>
      <c r="AS296" s="10"/>
      <c r="AT296" s="163">
        <f t="shared" si="70"/>
        <v>271277.35</v>
      </c>
      <c r="AU296" s="2"/>
      <c r="AV296" s="2"/>
      <c r="AW296" s="168"/>
      <c r="AX296" s="21">
        <f t="shared" si="65"/>
        <v>45514.87400000001</v>
      </c>
      <c r="AY296" s="26">
        <v>582171.25</v>
      </c>
    </row>
    <row r="297" spans="1:51" ht="15.75">
      <c r="A297" s="1">
        <v>289</v>
      </c>
      <c r="B297" s="1" t="s">
        <v>342</v>
      </c>
      <c r="C297" s="1">
        <v>713.9</v>
      </c>
      <c r="D297" s="1">
        <v>0</v>
      </c>
      <c r="E297" s="1">
        <f t="shared" si="69"/>
        <v>713.9</v>
      </c>
      <c r="F297" s="2">
        <v>13.02</v>
      </c>
      <c r="G297" s="2">
        <f t="shared" si="72"/>
        <v>9294.978</v>
      </c>
      <c r="H297" s="2">
        <f t="shared" si="60"/>
        <v>55769.867999999995</v>
      </c>
      <c r="I297" s="2">
        <f t="shared" si="71"/>
        <v>13.02</v>
      </c>
      <c r="J297" s="2">
        <f t="shared" si="68"/>
        <v>9294.978</v>
      </c>
      <c r="K297" s="2">
        <f t="shared" si="61"/>
        <v>55769.867999999995</v>
      </c>
      <c r="L297" s="13">
        <f t="shared" si="66"/>
        <v>111539.73599999999</v>
      </c>
      <c r="M297" s="139">
        <v>-46957.7</v>
      </c>
      <c r="N297" s="34">
        <f t="shared" si="67"/>
        <v>64582.03599999999</v>
      </c>
      <c r="O297" s="152">
        <v>0</v>
      </c>
      <c r="P297" s="152">
        <v>2064.72</v>
      </c>
      <c r="Q297" s="1">
        <v>495.64</v>
      </c>
      <c r="R297" s="1">
        <v>2064.72</v>
      </c>
      <c r="S297" s="1">
        <v>9362.84</v>
      </c>
      <c r="T297" s="1">
        <v>2064.72</v>
      </c>
      <c r="U297" s="33">
        <v>473.67</v>
      </c>
      <c r="V297" s="33">
        <v>3224.72</v>
      </c>
      <c r="W297" s="1">
        <v>527.34</v>
      </c>
      <c r="X297" s="1">
        <v>2064.72</v>
      </c>
      <c r="Y297" s="1">
        <v>40252.8</v>
      </c>
      <c r="Z297" s="1">
        <v>2064.72</v>
      </c>
      <c r="AA297" s="33">
        <v>3069.5</v>
      </c>
      <c r="AB297" s="33">
        <v>2064.72</v>
      </c>
      <c r="AC297" s="33">
        <v>0</v>
      </c>
      <c r="AD297" s="33">
        <v>2064.72</v>
      </c>
      <c r="AE297" s="33">
        <v>3080</v>
      </c>
      <c r="AF297" s="33">
        <v>2064.72</v>
      </c>
      <c r="AG297" s="1">
        <v>0</v>
      </c>
      <c r="AH297" s="1">
        <v>3225.13</v>
      </c>
      <c r="AI297" s="1">
        <v>0</v>
      </c>
      <c r="AJ297" s="1">
        <v>2064.72</v>
      </c>
      <c r="AK297" s="1">
        <v>312.76</v>
      </c>
      <c r="AL297" s="1">
        <v>2064.72</v>
      </c>
      <c r="AM297" s="9">
        <f t="shared" si="62"/>
        <v>57574.55</v>
      </c>
      <c r="AN297" s="9">
        <f t="shared" si="63"/>
        <v>27097.050000000003</v>
      </c>
      <c r="AO297" s="248">
        <f t="shared" si="64"/>
        <v>84671.6</v>
      </c>
      <c r="AP297" s="10"/>
      <c r="AQ297" s="10"/>
      <c r="AR297" s="10">
        <v>363.97</v>
      </c>
      <c r="AS297" s="10"/>
      <c r="AT297" s="163">
        <f t="shared" si="70"/>
        <v>85035.57</v>
      </c>
      <c r="AU297" s="2"/>
      <c r="AV297" s="2"/>
      <c r="AW297" s="168"/>
      <c r="AX297" s="21">
        <f t="shared" si="65"/>
        <v>-20453.534000000014</v>
      </c>
      <c r="AY297" s="26">
        <v>117209.76</v>
      </c>
    </row>
    <row r="298" spans="1:51" ht="15.75">
      <c r="A298" s="1">
        <v>290</v>
      </c>
      <c r="B298" s="1" t="s">
        <v>290</v>
      </c>
      <c r="C298" s="1">
        <v>263.9</v>
      </c>
      <c r="D298" s="1">
        <v>0</v>
      </c>
      <c r="E298" s="1">
        <f t="shared" si="69"/>
        <v>263.9</v>
      </c>
      <c r="F298" s="2">
        <v>13.03</v>
      </c>
      <c r="G298" s="2">
        <f t="shared" si="72"/>
        <v>3438.6169999999997</v>
      </c>
      <c r="H298" s="2">
        <f t="shared" si="60"/>
        <v>20631.701999999997</v>
      </c>
      <c r="I298" s="2">
        <f t="shared" si="71"/>
        <v>13.03</v>
      </c>
      <c r="J298" s="2">
        <f t="shared" si="68"/>
        <v>3438.6169999999997</v>
      </c>
      <c r="K298" s="2">
        <f t="shared" si="61"/>
        <v>20631.701999999997</v>
      </c>
      <c r="L298" s="13">
        <f t="shared" si="66"/>
        <v>41263.403999999995</v>
      </c>
      <c r="M298" s="139">
        <v>-140911.58</v>
      </c>
      <c r="N298" s="34">
        <f t="shared" si="67"/>
        <v>-99648.17599999999</v>
      </c>
      <c r="O298" s="152">
        <v>0</v>
      </c>
      <c r="P298" s="152">
        <v>908.22</v>
      </c>
      <c r="Q298" s="1">
        <v>330.43</v>
      </c>
      <c r="R298" s="1">
        <v>1073.59</v>
      </c>
      <c r="S298" s="1">
        <v>5652.14</v>
      </c>
      <c r="T298" s="1">
        <v>1073.59</v>
      </c>
      <c r="U298" s="33">
        <v>0</v>
      </c>
      <c r="V298" s="33">
        <v>1736.28</v>
      </c>
      <c r="W298" s="1">
        <v>0</v>
      </c>
      <c r="X298" s="1">
        <v>908.22</v>
      </c>
      <c r="Y298" s="1">
        <v>0</v>
      </c>
      <c r="Z298" s="1">
        <v>908.22</v>
      </c>
      <c r="AA298" s="33">
        <v>18868.83</v>
      </c>
      <c r="AB298" s="33">
        <v>908.22</v>
      </c>
      <c r="AC298" s="33">
        <v>7100.3</v>
      </c>
      <c r="AD298" s="33">
        <v>908.22</v>
      </c>
      <c r="AE298" s="33">
        <v>0</v>
      </c>
      <c r="AF298" s="33">
        <v>1088.22</v>
      </c>
      <c r="AG298" s="1">
        <v>0</v>
      </c>
      <c r="AH298" s="1">
        <v>2068.63</v>
      </c>
      <c r="AI298" s="1">
        <v>0</v>
      </c>
      <c r="AJ298" s="1">
        <v>1268.22</v>
      </c>
      <c r="AK298" s="1">
        <v>0</v>
      </c>
      <c r="AL298" s="1">
        <v>10347.01</v>
      </c>
      <c r="AM298" s="9">
        <f t="shared" si="62"/>
        <v>31951.7</v>
      </c>
      <c r="AN298" s="9">
        <f t="shared" si="63"/>
        <v>23196.64</v>
      </c>
      <c r="AO298" s="248">
        <f t="shared" si="64"/>
        <v>55148.34</v>
      </c>
      <c r="AP298" s="10"/>
      <c r="AQ298" s="10">
        <v>3599</v>
      </c>
      <c r="AR298" s="10"/>
      <c r="AS298" s="10"/>
      <c r="AT298" s="163">
        <f t="shared" si="70"/>
        <v>58747.34</v>
      </c>
      <c r="AU298" s="2"/>
      <c r="AV298" s="2"/>
      <c r="AW298" s="168"/>
      <c r="AX298" s="21">
        <f t="shared" si="65"/>
        <v>-158395.516</v>
      </c>
      <c r="AY298" s="26">
        <v>183982.68</v>
      </c>
    </row>
    <row r="299" spans="1:51" ht="15.75">
      <c r="A299" s="1">
        <v>291</v>
      </c>
      <c r="B299" s="1" t="s">
        <v>291</v>
      </c>
      <c r="C299" s="1">
        <v>417.3</v>
      </c>
      <c r="D299" s="1">
        <v>0</v>
      </c>
      <c r="E299" s="1">
        <f t="shared" si="69"/>
        <v>417.3</v>
      </c>
      <c r="F299" s="2">
        <v>13</v>
      </c>
      <c r="G299" s="2">
        <f t="shared" si="72"/>
        <v>5424.900000000001</v>
      </c>
      <c r="H299" s="2">
        <f t="shared" si="60"/>
        <v>32549.4</v>
      </c>
      <c r="I299" s="2">
        <f t="shared" si="71"/>
        <v>13</v>
      </c>
      <c r="J299" s="2">
        <f t="shared" si="68"/>
        <v>5424.900000000001</v>
      </c>
      <c r="K299" s="2">
        <f t="shared" si="61"/>
        <v>32549.4</v>
      </c>
      <c r="L299" s="13">
        <f t="shared" si="66"/>
        <v>65098.8</v>
      </c>
      <c r="M299" s="139">
        <v>-332304.68</v>
      </c>
      <c r="N299" s="34">
        <f t="shared" si="67"/>
        <v>-267205.88</v>
      </c>
      <c r="O299" s="152">
        <v>0</v>
      </c>
      <c r="P299" s="152">
        <v>7626.46</v>
      </c>
      <c r="Q299" s="1">
        <v>3391.46</v>
      </c>
      <c r="R299" s="1">
        <v>1302.46</v>
      </c>
      <c r="S299" s="1">
        <v>37100.74</v>
      </c>
      <c r="T299" s="1">
        <v>1302.46</v>
      </c>
      <c r="U299" s="33">
        <v>0</v>
      </c>
      <c r="V299" s="33">
        <v>6308.46</v>
      </c>
      <c r="W299" s="1">
        <v>24685.07</v>
      </c>
      <c r="X299" s="1">
        <v>12094.47</v>
      </c>
      <c r="Y299" s="1">
        <v>6102.74</v>
      </c>
      <c r="Z299" s="1">
        <v>5728.46</v>
      </c>
      <c r="AA299" s="33">
        <v>12732.21</v>
      </c>
      <c r="AB299" s="33">
        <v>42014.75</v>
      </c>
      <c r="AC299" s="33">
        <v>5389.71</v>
      </c>
      <c r="AD299" s="33">
        <v>1302.46</v>
      </c>
      <c r="AE299" s="33">
        <v>0</v>
      </c>
      <c r="AF299" s="33">
        <v>13016.96</v>
      </c>
      <c r="AG299" s="1">
        <v>345.43</v>
      </c>
      <c r="AH299" s="1">
        <v>4202.87</v>
      </c>
      <c r="AI299" s="1">
        <v>0</v>
      </c>
      <c r="AJ299" s="1">
        <v>1302.46</v>
      </c>
      <c r="AK299" s="1">
        <v>0</v>
      </c>
      <c r="AL299" s="1">
        <v>1302.46</v>
      </c>
      <c r="AM299" s="9">
        <f t="shared" si="62"/>
        <v>89747.36</v>
      </c>
      <c r="AN299" s="9">
        <f t="shared" si="63"/>
        <v>97504.73000000001</v>
      </c>
      <c r="AO299" s="248">
        <f t="shared" si="64"/>
        <v>187252.09000000003</v>
      </c>
      <c r="AP299" s="10"/>
      <c r="AQ299" s="10">
        <f>1132+3276</f>
        <v>4408</v>
      </c>
      <c r="AR299" s="10"/>
      <c r="AS299" s="10"/>
      <c r="AT299" s="163">
        <f t="shared" si="70"/>
        <v>191660.09000000003</v>
      </c>
      <c r="AU299" s="2"/>
      <c r="AV299" s="2"/>
      <c r="AW299" s="168">
        <v>4128</v>
      </c>
      <c r="AX299" s="21">
        <f t="shared" si="65"/>
        <v>-454737.97000000003</v>
      </c>
      <c r="AY299" s="26">
        <f>40407.87+3247.24</f>
        <v>43655.11</v>
      </c>
    </row>
    <row r="300" spans="1:51" ht="15.75">
      <c r="A300" s="1">
        <v>292</v>
      </c>
      <c r="B300" s="1" t="s">
        <v>292</v>
      </c>
      <c r="C300" s="1">
        <v>620</v>
      </c>
      <c r="D300" s="1">
        <v>0</v>
      </c>
      <c r="E300" s="1">
        <f t="shared" si="69"/>
        <v>620</v>
      </c>
      <c r="F300" s="2">
        <v>13</v>
      </c>
      <c r="G300" s="2">
        <f t="shared" si="72"/>
        <v>8060</v>
      </c>
      <c r="H300" s="2">
        <f t="shared" si="60"/>
        <v>48360</v>
      </c>
      <c r="I300" s="2">
        <f t="shared" si="71"/>
        <v>13</v>
      </c>
      <c r="J300" s="2">
        <f t="shared" si="68"/>
        <v>8060</v>
      </c>
      <c r="K300" s="2">
        <f t="shared" si="61"/>
        <v>48360</v>
      </c>
      <c r="L300" s="13">
        <f t="shared" si="66"/>
        <v>96720</v>
      </c>
      <c r="M300" s="139"/>
      <c r="N300" s="34">
        <f t="shared" si="67"/>
        <v>96720</v>
      </c>
      <c r="O300" s="152">
        <v>443.47</v>
      </c>
      <c r="P300" s="152">
        <v>11280.26</v>
      </c>
      <c r="Q300" s="1">
        <v>131.39</v>
      </c>
      <c r="R300" s="1">
        <v>2724.66</v>
      </c>
      <c r="S300" s="1">
        <v>32727.81</v>
      </c>
      <c r="T300" s="1">
        <v>1593.4</v>
      </c>
      <c r="U300" s="33">
        <v>5926.25</v>
      </c>
      <c r="V300" s="33">
        <v>2173.4</v>
      </c>
      <c r="W300" s="1">
        <v>0</v>
      </c>
      <c r="X300" s="1">
        <v>1593.4</v>
      </c>
      <c r="Y300" s="1">
        <v>0</v>
      </c>
      <c r="Z300" s="1">
        <v>1593.4</v>
      </c>
      <c r="AA300" s="33">
        <v>0</v>
      </c>
      <c r="AB300" s="33">
        <v>1593.4</v>
      </c>
      <c r="AC300" s="33">
        <v>1507.05</v>
      </c>
      <c r="AD300" s="33">
        <v>1593.4</v>
      </c>
      <c r="AE300" s="33">
        <v>0</v>
      </c>
      <c r="AF300" s="33">
        <v>9544.33</v>
      </c>
      <c r="AG300" s="1">
        <v>345.43</v>
      </c>
      <c r="AH300" s="1">
        <v>2753.81</v>
      </c>
      <c r="AI300" s="1">
        <v>0</v>
      </c>
      <c r="AJ300" s="1">
        <v>1593.4</v>
      </c>
      <c r="AK300" s="1">
        <v>1448.8</v>
      </c>
      <c r="AL300" s="1">
        <v>1593.4</v>
      </c>
      <c r="AM300" s="9">
        <f t="shared" si="62"/>
        <v>42530.200000000004</v>
      </c>
      <c r="AN300" s="9">
        <f t="shared" si="63"/>
        <v>39630.26000000001</v>
      </c>
      <c r="AO300" s="248">
        <f t="shared" si="64"/>
        <v>82160.46000000002</v>
      </c>
      <c r="AP300" s="10"/>
      <c r="AQ300" s="10"/>
      <c r="AR300" s="10"/>
      <c r="AS300" s="10"/>
      <c r="AT300" s="163">
        <f t="shared" si="70"/>
        <v>82160.46000000002</v>
      </c>
      <c r="AU300" s="2"/>
      <c r="AV300" s="2"/>
      <c r="AW300" s="168">
        <v>13836</v>
      </c>
      <c r="AX300" s="21">
        <f t="shared" si="65"/>
        <v>28395.53999999998</v>
      </c>
      <c r="AY300" s="26">
        <v>10443.94</v>
      </c>
    </row>
    <row r="301" spans="1:78" s="18" customFormat="1" ht="15.75">
      <c r="A301" s="1">
        <v>293</v>
      </c>
      <c r="B301" s="1" t="s">
        <v>293</v>
      </c>
      <c r="C301" s="1">
        <v>537.2</v>
      </c>
      <c r="D301" s="1">
        <v>0</v>
      </c>
      <c r="E301" s="1">
        <f t="shared" si="69"/>
        <v>537.2</v>
      </c>
      <c r="F301" s="2">
        <v>13.11</v>
      </c>
      <c r="G301" s="2">
        <f t="shared" si="72"/>
        <v>7042.692</v>
      </c>
      <c r="H301" s="2">
        <f t="shared" si="60"/>
        <v>42256.152</v>
      </c>
      <c r="I301" s="2">
        <f t="shared" si="71"/>
        <v>13.11</v>
      </c>
      <c r="J301" s="2">
        <f t="shared" si="68"/>
        <v>7042.692</v>
      </c>
      <c r="K301" s="2">
        <f t="shared" si="61"/>
        <v>42256.152</v>
      </c>
      <c r="L301" s="13">
        <f t="shared" si="66"/>
        <v>84512.304</v>
      </c>
      <c r="M301" s="139">
        <v>-756745.45</v>
      </c>
      <c r="N301" s="34">
        <f t="shared" si="67"/>
        <v>-672233.146</v>
      </c>
      <c r="O301" s="152">
        <v>2010.46</v>
      </c>
      <c r="P301" s="152">
        <v>3610.37</v>
      </c>
      <c r="Q301" s="1">
        <v>131.39</v>
      </c>
      <c r="R301" s="1">
        <v>1610.6</v>
      </c>
      <c r="S301" s="1">
        <v>31647.81</v>
      </c>
      <c r="T301" s="1">
        <v>1775.97</v>
      </c>
      <c r="U301" s="33">
        <v>0</v>
      </c>
      <c r="V301" s="33">
        <v>2190.6</v>
      </c>
      <c r="W301" s="1">
        <v>0</v>
      </c>
      <c r="X301" s="1">
        <v>1610.6</v>
      </c>
      <c r="Y301" s="1">
        <v>8091.36</v>
      </c>
      <c r="Z301" s="1">
        <v>1790.6</v>
      </c>
      <c r="AA301" s="33">
        <v>0</v>
      </c>
      <c r="AB301" s="33">
        <v>1610.6</v>
      </c>
      <c r="AC301" s="33">
        <v>681.05</v>
      </c>
      <c r="AD301" s="33">
        <v>1610.6</v>
      </c>
      <c r="AE301" s="33">
        <v>0</v>
      </c>
      <c r="AF301" s="33">
        <v>1790.6</v>
      </c>
      <c r="AG301" s="1">
        <v>345.43</v>
      </c>
      <c r="AH301" s="1">
        <v>2771.01</v>
      </c>
      <c r="AI301" s="1">
        <v>0</v>
      </c>
      <c r="AJ301" s="1">
        <v>3001.07</v>
      </c>
      <c r="AK301" s="1">
        <v>1448.8</v>
      </c>
      <c r="AL301" s="1">
        <v>1610.6</v>
      </c>
      <c r="AM301" s="9">
        <f t="shared" si="62"/>
        <v>44356.30000000001</v>
      </c>
      <c r="AN301" s="9">
        <f t="shared" si="63"/>
        <v>24983.22</v>
      </c>
      <c r="AO301" s="248">
        <f t="shared" si="64"/>
        <v>69339.52000000002</v>
      </c>
      <c r="AP301" s="10"/>
      <c r="AQ301" s="10"/>
      <c r="AR301" s="10"/>
      <c r="AS301" s="10"/>
      <c r="AT301" s="163">
        <f t="shared" si="70"/>
        <v>69339.52000000002</v>
      </c>
      <c r="AU301" s="2"/>
      <c r="AV301" s="2"/>
      <c r="AW301" s="168"/>
      <c r="AX301" s="21">
        <f t="shared" si="65"/>
        <v>-741572.666</v>
      </c>
      <c r="AY301" s="26">
        <v>245523.42</v>
      </c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</row>
    <row r="302" spans="1:78" s="18" customFormat="1" ht="15.75">
      <c r="A302" s="1">
        <v>294</v>
      </c>
      <c r="B302" s="1" t="s">
        <v>294</v>
      </c>
      <c r="C302" s="1">
        <v>531.3</v>
      </c>
      <c r="D302" s="1">
        <v>0</v>
      </c>
      <c r="E302" s="1">
        <f t="shared" si="69"/>
        <v>531.3</v>
      </c>
      <c r="F302" s="2">
        <v>9.27</v>
      </c>
      <c r="G302" s="2">
        <f t="shared" si="72"/>
        <v>4925.150999999999</v>
      </c>
      <c r="H302" s="2">
        <f t="shared" si="60"/>
        <v>29550.905999999995</v>
      </c>
      <c r="I302" s="2">
        <f t="shared" si="71"/>
        <v>9.27</v>
      </c>
      <c r="J302" s="2">
        <f t="shared" si="68"/>
        <v>4925.150999999999</v>
      </c>
      <c r="K302" s="2">
        <f t="shared" si="61"/>
        <v>29550.905999999995</v>
      </c>
      <c r="L302" s="13">
        <f t="shared" si="66"/>
        <v>59101.81199999999</v>
      </c>
      <c r="M302" s="139">
        <v>-102632.38</v>
      </c>
      <c r="N302" s="34">
        <f t="shared" si="67"/>
        <v>-43530.568000000014</v>
      </c>
      <c r="O302" s="152">
        <v>0</v>
      </c>
      <c r="P302" s="152">
        <v>8826.89</v>
      </c>
      <c r="Q302" s="1">
        <v>131.39</v>
      </c>
      <c r="R302" s="1">
        <v>1760.81</v>
      </c>
      <c r="S302" s="1">
        <v>31107.81</v>
      </c>
      <c r="T302" s="1">
        <v>1760.81</v>
      </c>
      <c r="U302" s="33">
        <v>0</v>
      </c>
      <c r="V302" s="33">
        <v>2175.44</v>
      </c>
      <c r="W302" s="1">
        <v>0</v>
      </c>
      <c r="X302" s="1">
        <v>1595.44</v>
      </c>
      <c r="Y302" s="1">
        <v>0</v>
      </c>
      <c r="Z302" s="1">
        <v>1775.44</v>
      </c>
      <c r="AA302" s="33">
        <v>0</v>
      </c>
      <c r="AB302" s="33">
        <v>1595.44</v>
      </c>
      <c r="AC302" s="33">
        <v>1398.55</v>
      </c>
      <c r="AD302" s="33">
        <v>1595.44</v>
      </c>
      <c r="AE302" s="33">
        <v>0</v>
      </c>
      <c r="AF302" s="33">
        <v>1775.44</v>
      </c>
      <c r="AG302" s="1">
        <v>345.43</v>
      </c>
      <c r="AH302" s="1">
        <v>2755.85</v>
      </c>
      <c r="AI302" s="1">
        <v>0</v>
      </c>
      <c r="AJ302" s="1">
        <v>30521.63</v>
      </c>
      <c r="AK302" s="1">
        <v>1448.8</v>
      </c>
      <c r="AL302" s="1">
        <v>41685.12</v>
      </c>
      <c r="AM302" s="9">
        <f t="shared" si="62"/>
        <v>34431.98</v>
      </c>
      <c r="AN302" s="9">
        <f t="shared" si="63"/>
        <v>97823.75</v>
      </c>
      <c r="AO302" s="248">
        <f t="shared" si="64"/>
        <v>132255.73</v>
      </c>
      <c r="AP302" s="10"/>
      <c r="AQ302" s="10"/>
      <c r="AR302" s="10"/>
      <c r="AS302" s="10"/>
      <c r="AT302" s="163">
        <f t="shared" si="70"/>
        <v>132255.73</v>
      </c>
      <c r="AU302" s="2"/>
      <c r="AV302" s="2"/>
      <c r="AW302" s="168"/>
      <c r="AX302" s="21">
        <f t="shared" si="65"/>
        <v>-175786.298</v>
      </c>
      <c r="AY302" s="26">
        <v>329242.3</v>
      </c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</row>
    <row r="303" spans="1:51" ht="15.75">
      <c r="A303" s="1">
        <v>295</v>
      </c>
      <c r="B303" s="1" t="s">
        <v>295</v>
      </c>
      <c r="C303" s="1">
        <v>527.1</v>
      </c>
      <c r="D303" s="1">
        <v>0</v>
      </c>
      <c r="E303" s="1">
        <f t="shared" si="69"/>
        <v>527.1</v>
      </c>
      <c r="F303" s="2">
        <v>13</v>
      </c>
      <c r="G303" s="2">
        <f t="shared" si="72"/>
        <v>6852.3</v>
      </c>
      <c r="H303" s="2">
        <f t="shared" si="60"/>
        <v>41113.8</v>
      </c>
      <c r="I303" s="2">
        <f t="shared" si="71"/>
        <v>13</v>
      </c>
      <c r="J303" s="2">
        <f t="shared" si="68"/>
        <v>6852.3</v>
      </c>
      <c r="K303" s="2">
        <f t="shared" si="61"/>
        <v>41113.8</v>
      </c>
      <c r="L303" s="13">
        <f t="shared" si="66"/>
        <v>82227.6</v>
      </c>
      <c r="M303" s="139">
        <v>-62728.15</v>
      </c>
      <c r="N303" s="34">
        <f t="shared" si="67"/>
        <v>19499.450000000004</v>
      </c>
      <c r="O303" s="152">
        <v>0</v>
      </c>
      <c r="P303" s="152">
        <v>3584.42</v>
      </c>
      <c r="Q303" s="1">
        <v>131.39</v>
      </c>
      <c r="R303" s="1">
        <v>1584.65</v>
      </c>
      <c r="S303" s="1">
        <v>30891.81</v>
      </c>
      <c r="T303" s="1">
        <v>1750.02</v>
      </c>
      <c r="U303" s="33">
        <v>0</v>
      </c>
      <c r="V303" s="33">
        <v>2164.65</v>
      </c>
      <c r="W303" s="1">
        <v>0</v>
      </c>
      <c r="X303" s="1">
        <v>1584.65</v>
      </c>
      <c r="Y303" s="1">
        <v>0</v>
      </c>
      <c r="Z303" s="1">
        <v>1584.65</v>
      </c>
      <c r="AA303" s="33">
        <v>0</v>
      </c>
      <c r="AB303" s="33">
        <v>1584.65</v>
      </c>
      <c r="AC303" s="33">
        <v>48634.17</v>
      </c>
      <c r="AD303" s="33">
        <v>1584.65</v>
      </c>
      <c r="AE303" s="33">
        <v>0</v>
      </c>
      <c r="AF303" s="33">
        <v>1584.65</v>
      </c>
      <c r="AG303" s="1">
        <v>345.43</v>
      </c>
      <c r="AH303" s="1">
        <v>2745.06</v>
      </c>
      <c r="AI303" s="1">
        <v>0</v>
      </c>
      <c r="AJ303" s="1">
        <v>1674.65</v>
      </c>
      <c r="AK303" s="1">
        <v>0</v>
      </c>
      <c r="AL303" s="1">
        <v>1584.65</v>
      </c>
      <c r="AM303" s="9">
        <f t="shared" si="62"/>
        <v>80002.79999999999</v>
      </c>
      <c r="AN303" s="9">
        <f t="shared" si="63"/>
        <v>23011.350000000002</v>
      </c>
      <c r="AO303" s="248">
        <f t="shared" si="64"/>
        <v>103014.15</v>
      </c>
      <c r="AP303" s="10"/>
      <c r="AQ303" s="10">
        <v>5664</v>
      </c>
      <c r="AR303" s="10"/>
      <c r="AS303" s="10"/>
      <c r="AT303" s="163">
        <f t="shared" si="70"/>
        <v>108678.15</v>
      </c>
      <c r="AU303" s="2"/>
      <c r="AV303" s="2"/>
      <c r="AW303" s="168">
        <v>13826</v>
      </c>
      <c r="AX303" s="21">
        <f t="shared" si="65"/>
        <v>-75352.69999999998</v>
      </c>
      <c r="AY303" s="26">
        <v>307934.16</v>
      </c>
    </row>
    <row r="304" spans="1:51" ht="15.75">
      <c r="A304" s="1">
        <v>296</v>
      </c>
      <c r="B304" s="1" t="s">
        <v>296</v>
      </c>
      <c r="C304" s="1">
        <v>400.6</v>
      </c>
      <c r="D304" s="1">
        <v>0</v>
      </c>
      <c r="E304" s="1">
        <f t="shared" si="69"/>
        <v>400.6</v>
      </c>
      <c r="F304" s="2">
        <v>9.75</v>
      </c>
      <c r="G304" s="2">
        <f t="shared" si="72"/>
        <v>3905.8500000000004</v>
      </c>
      <c r="H304" s="2">
        <f t="shared" si="60"/>
        <v>23435.100000000002</v>
      </c>
      <c r="I304" s="2">
        <f t="shared" si="71"/>
        <v>9.75</v>
      </c>
      <c r="J304" s="2">
        <f t="shared" si="68"/>
        <v>3905.8500000000004</v>
      </c>
      <c r="K304" s="2">
        <f t="shared" si="61"/>
        <v>23435.100000000002</v>
      </c>
      <c r="L304" s="13">
        <f t="shared" si="66"/>
        <v>46870.200000000004</v>
      </c>
      <c r="M304" s="139">
        <v>-175953.92</v>
      </c>
      <c r="N304" s="34">
        <f t="shared" si="67"/>
        <v>-129083.72</v>
      </c>
      <c r="O304" s="152">
        <v>0</v>
      </c>
      <c r="P304" s="152">
        <v>1259.54</v>
      </c>
      <c r="Q304" s="1">
        <v>131.39</v>
      </c>
      <c r="R304" s="1">
        <v>1259.54</v>
      </c>
      <c r="S304" s="1">
        <v>23223.81</v>
      </c>
      <c r="T304" s="1">
        <v>1424.91</v>
      </c>
      <c r="U304" s="33">
        <v>0</v>
      </c>
      <c r="V304" s="33">
        <v>1839.54</v>
      </c>
      <c r="W304" s="1">
        <v>0</v>
      </c>
      <c r="X304" s="1">
        <v>1259.54</v>
      </c>
      <c r="Y304" s="1">
        <v>0</v>
      </c>
      <c r="Z304" s="1">
        <v>1259.54</v>
      </c>
      <c r="AA304" s="33">
        <v>0</v>
      </c>
      <c r="AB304" s="33">
        <v>1259.54</v>
      </c>
      <c r="AC304" s="33">
        <v>857.1</v>
      </c>
      <c r="AD304" s="33">
        <v>1854.34</v>
      </c>
      <c r="AE304" s="33">
        <v>2050.7</v>
      </c>
      <c r="AF304" s="33">
        <v>1259.54</v>
      </c>
      <c r="AG304" s="1">
        <v>7809.78</v>
      </c>
      <c r="AH304" s="1">
        <v>2419.95</v>
      </c>
      <c r="AI304" s="1">
        <v>0</v>
      </c>
      <c r="AJ304" s="1">
        <v>1259.54</v>
      </c>
      <c r="AK304" s="1">
        <v>0</v>
      </c>
      <c r="AL304" s="1">
        <v>1259.54</v>
      </c>
      <c r="AM304" s="9">
        <f t="shared" si="62"/>
        <v>34072.78</v>
      </c>
      <c r="AN304" s="9">
        <f t="shared" si="63"/>
        <v>17615.060000000005</v>
      </c>
      <c r="AO304" s="248">
        <f t="shared" si="64"/>
        <v>51687.840000000004</v>
      </c>
      <c r="AP304" s="10"/>
      <c r="AQ304" s="10"/>
      <c r="AR304" s="10"/>
      <c r="AS304" s="10"/>
      <c r="AT304" s="163">
        <f t="shared" si="70"/>
        <v>51687.840000000004</v>
      </c>
      <c r="AU304" s="2"/>
      <c r="AV304" s="2"/>
      <c r="AW304" s="168"/>
      <c r="AX304" s="21">
        <f t="shared" si="65"/>
        <v>-180771.56</v>
      </c>
      <c r="AY304" s="26">
        <v>5562.14</v>
      </c>
    </row>
    <row r="305" spans="1:51" ht="15.75">
      <c r="A305" s="1">
        <v>297</v>
      </c>
      <c r="B305" s="1" t="s">
        <v>297</v>
      </c>
      <c r="C305" s="1">
        <v>5906.18</v>
      </c>
      <c r="D305" s="1">
        <v>0</v>
      </c>
      <c r="E305" s="1">
        <f t="shared" si="69"/>
        <v>5906.18</v>
      </c>
      <c r="F305" s="2">
        <v>14.96</v>
      </c>
      <c r="G305" s="2">
        <f t="shared" si="72"/>
        <v>88356.45280000001</v>
      </c>
      <c r="H305" s="2">
        <f t="shared" si="60"/>
        <v>530138.7168</v>
      </c>
      <c r="I305" s="2">
        <f t="shared" si="71"/>
        <v>14.96</v>
      </c>
      <c r="J305" s="2">
        <f t="shared" si="68"/>
        <v>88356.45280000001</v>
      </c>
      <c r="K305" s="2">
        <f t="shared" si="61"/>
        <v>530138.7168</v>
      </c>
      <c r="L305" s="13">
        <f t="shared" si="66"/>
        <v>1060277.4336</v>
      </c>
      <c r="M305" s="139"/>
      <c r="N305" s="34">
        <f t="shared" si="67"/>
        <v>1060277.4336</v>
      </c>
      <c r="O305" s="152">
        <v>28823.29</v>
      </c>
      <c r="P305" s="152">
        <v>15409.4</v>
      </c>
      <c r="Q305" s="1">
        <v>39592.3</v>
      </c>
      <c r="R305" s="1">
        <v>19408.97</v>
      </c>
      <c r="S305" s="1">
        <v>50715.98</v>
      </c>
      <c r="T305" s="1">
        <v>17409.17</v>
      </c>
      <c r="U305" s="33">
        <v>130056.32</v>
      </c>
      <c r="V305" s="33">
        <v>66612.98</v>
      </c>
      <c r="W305" s="1">
        <v>40250.8</v>
      </c>
      <c r="X305" s="1">
        <v>15409.4</v>
      </c>
      <c r="Y305" s="1">
        <v>26040.82</v>
      </c>
      <c r="Z305" s="1">
        <v>19564.88</v>
      </c>
      <c r="AA305" s="33">
        <v>31343.35</v>
      </c>
      <c r="AB305" s="33">
        <v>32355.57</v>
      </c>
      <c r="AC305" s="33">
        <v>28681.5</v>
      </c>
      <c r="AD305" s="33">
        <v>27741.72</v>
      </c>
      <c r="AE305" s="33">
        <v>23153.01</v>
      </c>
      <c r="AF305" s="33">
        <v>15409.4</v>
      </c>
      <c r="AG305" s="1">
        <v>14758.86</v>
      </c>
      <c r="AH305" s="1">
        <v>16569.81</v>
      </c>
      <c r="AI305" s="1">
        <v>26419.81</v>
      </c>
      <c r="AJ305" s="1">
        <v>24628.33</v>
      </c>
      <c r="AK305" s="1">
        <v>16878.54</v>
      </c>
      <c r="AL305" s="1">
        <v>15409.4</v>
      </c>
      <c r="AM305" s="9">
        <f t="shared" si="62"/>
        <v>456714.57999999996</v>
      </c>
      <c r="AN305" s="9">
        <f t="shared" si="63"/>
        <v>285929.03</v>
      </c>
      <c r="AO305" s="248">
        <f t="shared" si="64"/>
        <v>742643.61</v>
      </c>
      <c r="AP305" s="10"/>
      <c r="AQ305" s="10">
        <f>(494700-455271.96)+(105753.99-12297.8)+9209.79+168000</f>
        <v>310094.02</v>
      </c>
      <c r="AR305" s="10">
        <v>3011.15</v>
      </c>
      <c r="AS305" s="10"/>
      <c r="AT305" s="163">
        <f t="shared" si="70"/>
        <v>1055748.7799999998</v>
      </c>
      <c r="AU305" s="2"/>
      <c r="AV305" s="2"/>
      <c r="AW305" s="168">
        <v>2408</v>
      </c>
      <c r="AX305" s="21">
        <f t="shared" si="65"/>
        <v>6936.653600000311</v>
      </c>
      <c r="AY305" s="26">
        <f>1467785.29+590902.28</f>
        <v>2058687.57</v>
      </c>
    </row>
    <row r="306" spans="1:51" ht="15.75">
      <c r="A306" s="1">
        <v>298</v>
      </c>
      <c r="B306" s="1" t="s">
        <v>298</v>
      </c>
      <c r="C306" s="1">
        <v>3834.6</v>
      </c>
      <c r="D306" s="1">
        <v>0</v>
      </c>
      <c r="E306" s="1">
        <f t="shared" si="69"/>
        <v>3834.6</v>
      </c>
      <c r="F306" s="2">
        <v>14.97</v>
      </c>
      <c r="G306" s="2">
        <f t="shared" si="72"/>
        <v>57403.962</v>
      </c>
      <c r="H306" s="2">
        <f t="shared" si="60"/>
        <v>344423.772</v>
      </c>
      <c r="I306" s="2">
        <f t="shared" si="71"/>
        <v>14.97</v>
      </c>
      <c r="J306" s="2">
        <f t="shared" si="68"/>
        <v>57403.962</v>
      </c>
      <c r="K306" s="2">
        <f t="shared" si="61"/>
        <v>344423.772</v>
      </c>
      <c r="L306" s="13">
        <f t="shared" si="66"/>
        <v>688847.544</v>
      </c>
      <c r="M306" s="139"/>
      <c r="N306" s="34">
        <f t="shared" si="67"/>
        <v>688847.544</v>
      </c>
      <c r="O306" s="152">
        <v>21682.3</v>
      </c>
      <c r="P306" s="152">
        <v>21777.97</v>
      </c>
      <c r="Q306" s="1">
        <v>71479.93</v>
      </c>
      <c r="R306" s="1">
        <v>10084.92</v>
      </c>
      <c r="S306" s="1">
        <v>31659.03</v>
      </c>
      <c r="T306" s="1">
        <v>27325.8</v>
      </c>
      <c r="U306" s="33">
        <v>8416.32</v>
      </c>
      <c r="V306" s="33">
        <v>19050.88</v>
      </c>
      <c r="W306" s="1">
        <v>18071.19</v>
      </c>
      <c r="X306" s="1">
        <v>11743.34</v>
      </c>
      <c r="Y306" s="1">
        <v>179185.26</v>
      </c>
      <c r="Z306" s="1">
        <v>10084.92</v>
      </c>
      <c r="AA306" s="33">
        <v>21187.29</v>
      </c>
      <c r="AB306" s="33">
        <v>18709.71</v>
      </c>
      <c r="AC306" s="33">
        <v>30367.41</v>
      </c>
      <c r="AD306" s="33">
        <v>68891.86</v>
      </c>
      <c r="AE306" s="33">
        <v>19403.13</v>
      </c>
      <c r="AF306" s="33">
        <v>45416.01</v>
      </c>
      <c r="AG306" s="1">
        <v>11206.16</v>
      </c>
      <c r="AH306" s="1">
        <v>28491.82</v>
      </c>
      <c r="AI306" s="1">
        <v>22828.06</v>
      </c>
      <c r="AJ306" s="1">
        <v>22270.28</v>
      </c>
      <c r="AK306" s="1">
        <v>58147.63</v>
      </c>
      <c r="AL306" s="1">
        <v>10084.92</v>
      </c>
      <c r="AM306" s="9">
        <f t="shared" si="62"/>
        <v>493633.70999999996</v>
      </c>
      <c r="AN306" s="9">
        <f t="shared" si="63"/>
        <v>293932.43</v>
      </c>
      <c r="AO306" s="248">
        <f t="shared" si="64"/>
        <v>787566.1399999999</v>
      </c>
      <c r="AP306" s="19"/>
      <c r="AQ306" s="10"/>
      <c r="AR306" s="10"/>
      <c r="AS306" s="10"/>
      <c r="AT306" s="163">
        <f t="shared" si="70"/>
        <v>787566.1399999999</v>
      </c>
      <c r="AU306" s="2"/>
      <c r="AV306" s="2"/>
      <c r="AW306" s="168">
        <v>4128</v>
      </c>
      <c r="AX306" s="21">
        <f t="shared" si="65"/>
        <v>-94590.5959999999</v>
      </c>
      <c r="AY306" s="26">
        <v>205343.44</v>
      </c>
    </row>
    <row r="307" spans="1:51" ht="15.75">
      <c r="A307" s="1">
        <v>299</v>
      </c>
      <c r="B307" s="1" t="s">
        <v>299</v>
      </c>
      <c r="C307" s="1">
        <v>453.7</v>
      </c>
      <c r="D307" s="1">
        <v>0</v>
      </c>
      <c r="E307" s="1">
        <f t="shared" si="69"/>
        <v>453.7</v>
      </c>
      <c r="F307" s="2">
        <v>10.19</v>
      </c>
      <c r="G307" s="2">
        <f t="shared" si="72"/>
        <v>4623.2029999999995</v>
      </c>
      <c r="H307" s="2">
        <f t="shared" si="60"/>
        <v>27739.217999999997</v>
      </c>
      <c r="I307" s="2">
        <f t="shared" si="71"/>
        <v>10.19</v>
      </c>
      <c r="J307" s="2">
        <f t="shared" si="68"/>
        <v>4623.2029999999995</v>
      </c>
      <c r="K307" s="2">
        <f t="shared" si="61"/>
        <v>27739.217999999997</v>
      </c>
      <c r="L307" s="13">
        <f t="shared" si="66"/>
        <v>55478.435999999994</v>
      </c>
      <c r="M307" s="139"/>
      <c r="N307" s="34">
        <f t="shared" si="67"/>
        <v>55478.435999999994</v>
      </c>
      <c r="O307" s="152">
        <v>0</v>
      </c>
      <c r="P307" s="152">
        <v>1166.01</v>
      </c>
      <c r="Q307" s="1">
        <v>0</v>
      </c>
      <c r="R307" s="1">
        <v>1166.01</v>
      </c>
      <c r="S307" s="1">
        <v>0</v>
      </c>
      <c r="T307" s="1">
        <v>1166.01</v>
      </c>
      <c r="U307" s="33">
        <v>0</v>
      </c>
      <c r="V307" s="33">
        <v>1746.01</v>
      </c>
      <c r="W307" s="1">
        <v>0</v>
      </c>
      <c r="X307" s="1">
        <v>1166.01</v>
      </c>
      <c r="Y307" s="1">
        <v>0</v>
      </c>
      <c r="Z307" s="1">
        <v>1166.01</v>
      </c>
      <c r="AA307" s="33">
        <v>0</v>
      </c>
      <c r="AB307" s="33">
        <v>1346.01</v>
      </c>
      <c r="AC307" s="33">
        <v>0</v>
      </c>
      <c r="AD307" s="33">
        <v>1166.01</v>
      </c>
      <c r="AE307" s="33">
        <v>0</v>
      </c>
      <c r="AF307" s="33">
        <v>1166.01</v>
      </c>
      <c r="AG307" s="1">
        <v>0</v>
      </c>
      <c r="AH307" s="1">
        <v>1801.67</v>
      </c>
      <c r="AI307" s="1">
        <v>0</v>
      </c>
      <c r="AJ307" s="1">
        <v>1166.01</v>
      </c>
      <c r="AK307" s="1">
        <v>0</v>
      </c>
      <c r="AL307" s="1">
        <v>1166.01</v>
      </c>
      <c r="AM307" s="9">
        <f t="shared" si="62"/>
        <v>0</v>
      </c>
      <c r="AN307" s="9">
        <f t="shared" si="63"/>
        <v>15387.78</v>
      </c>
      <c r="AO307" s="248">
        <f t="shared" si="64"/>
        <v>15387.78</v>
      </c>
      <c r="AP307" s="10"/>
      <c r="AQ307" s="10"/>
      <c r="AR307" s="10"/>
      <c r="AS307" s="10"/>
      <c r="AT307" s="163">
        <f t="shared" si="70"/>
        <v>15387.78</v>
      </c>
      <c r="AU307" s="2"/>
      <c r="AV307" s="2"/>
      <c r="AW307" s="168"/>
      <c r="AX307" s="21">
        <f t="shared" si="65"/>
        <v>40090.655999999995</v>
      </c>
      <c r="AY307" s="26">
        <f>350432.88+93358.44</f>
        <v>443791.32</v>
      </c>
    </row>
    <row r="308" spans="1:51" ht="15.75">
      <c r="A308" s="1">
        <v>300</v>
      </c>
      <c r="B308" s="1" t="s">
        <v>300</v>
      </c>
      <c r="C308" s="1">
        <v>510.7</v>
      </c>
      <c r="D308" s="1">
        <v>0</v>
      </c>
      <c r="E308" s="1">
        <f t="shared" si="69"/>
        <v>510.7</v>
      </c>
      <c r="F308" s="2">
        <v>10.19</v>
      </c>
      <c r="G308" s="2">
        <f t="shared" si="72"/>
        <v>5204.032999999999</v>
      </c>
      <c r="H308" s="2">
        <f t="shared" si="60"/>
        <v>31224.197999999997</v>
      </c>
      <c r="I308" s="2">
        <f t="shared" si="71"/>
        <v>10.19</v>
      </c>
      <c r="J308" s="2">
        <f t="shared" si="68"/>
        <v>5204.032999999999</v>
      </c>
      <c r="K308" s="2">
        <f t="shared" si="61"/>
        <v>31224.197999999997</v>
      </c>
      <c r="L308" s="13">
        <f t="shared" si="66"/>
        <v>62448.39599999999</v>
      </c>
      <c r="M308" s="139"/>
      <c r="N308" s="34">
        <f t="shared" si="67"/>
        <v>62448.39599999999</v>
      </c>
      <c r="O308" s="152">
        <v>0</v>
      </c>
      <c r="P308" s="152">
        <v>3258.22</v>
      </c>
      <c r="Q308" s="1">
        <v>0</v>
      </c>
      <c r="R308" s="1">
        <v>1312.5</v>
      </c>
      <c r="S308" s="1">
        <v>0</v>
      </c>
      <c r="T308" s="1">
        <v>3258.22</v>
      </c>
      <c r="U308" s="33">
        <v>0</v>
      </c>
      <c r="V308" s="33">
        <v>1892.5</v>
      </c>
      <c r="W308" s="1">
        <v>0</v>
      </c>
      <c r="X308" s="1">
        <v>1312.5</v>
      </c>
      <c r="Y308" s="1">
        <v>0</v>
      </c>
      <c r="Z308" s="1">
        <v>1312.5</v>
      </c>
      <c r="AA308" s="33">
        <v>0</v>
      </c>
      <c r="AB308" s="33">
        <v>1492.5</v>
      </c>
      <c r="AC308" s="33">
        <v>0</v>
      </c>
      <c r="AD308" s="33">
        <v>1402.5</v>
      </c>
      <c r="AE308" s="33">
        <v>0</v>
      </c>
      <c r="AF308" s="33">
        <v>1312.5</v>
      </c>
      <c r="AG308" s="1">
        <v>0</v>
      </c>
      <c r="AH308" s="1">
        <v>2128.16</v>
      </c>
      <c r="AI308" s="1">
        <v>0</v>
      </c>
      <c r="AJ308" s="1">
        <v>1492.5</v>
      </c>
      <c r="AK308" s="1">
        <v>0</v>
      </c>
      <c r="AL308" s="1">
        <v>1312.5</v>
      </c>
      <c r="AM308" s="9">
        <f t="shared" si="62"/>
        <v>0</v>
      </c>
      <c r="AN308" s="9">
        <f t="shared" si="63"/>
        <v>21487.1</v>
      </c>
      <c r="AO308" s="248">
        <f t="shared" si="64"/>
        <v>21487.1</v>
      </c>
      <c r="AP308" s="10"/>
      <c r="AQ308" s="10"/>
      <c r="AR308" s="10"/>
      <c r="AS308" s="10"/>
      <c r="AT308" s="163">
        <f t="shared" si="70"/>
        <v>21487.1</v>
      </c>
      <c r="AU308" s="2"/>
      <c r="AV308" s="2"/>
      <c r="AW308" s="168"/>
      <c r="AX308" s="21">
        <f t="shared" si="65"/>
        <v>40961.295999999995</v>
      </c>
      <c r="AY308" s="26">
        <f>662302.05+62699.58</f>
        <v>725001.63</v>
      </c>
    </row>
    <row r="309" spans="1:51" ht="15.75">
      <c r="A309" s="1">
        <v>301</v>
      </c>
      <c r="B309" s="1" t="s">
        <v>301</v>
      </c>
      <c r="C309" s="1">
        <v>479.7</v>
      </c>
      <c r="D309" s="1">
        <v>0</v>
      </c>
      <c r="E309" s="1">
        <f t="shared" si="69"/>
        <v>479.7</v>
      </c>
      <c r="F309" s="2">
        <v>9.38</v>
      </c>
      <c r="G309" s="2">
        <f t="shared" si="72"/>
        <v>4499.586</v>
      </c>
      <c r="H309" s="2">
        <f t="shared" si="60"/>
        <v>26997.516000000003</v>
      </c>
      <c r="I309" s="2">
        <f t="shared" si="71"/>
        <v>9.38</v>
      </c>
      <c r="J309" s="2">
        <f t="shared" si="68"/>
        <v>4499.586</v>
      </c>
      <c r="K309" s="2">
        <f t="shared" si="61"/>
        <v>26997.516000000003</v>
      </c>
      <c r="L309" s="13">
        <f t="shared" si="66"/>
        <v>53995.03200000001</v>
      </c>
      <c r="M309" s="139"/>
      <c r="N309" s="34">
        <f t="shared" si="67"/>
        <v>53995.03200000001</v>
      </c>
      <c r="O309" s="152">
        <v>0</v>
      </c>
      <c r="P309" s="152">
        <v>1462.83</v>
      </c>
      <c r="Q309" s="1">
        <v>0</v>
      </c>
      <c r="R309" s="1">
        <v>1462.83</v>
      </c>
      <c r="S309" s="1">
        <v>0</v>
      </c>
      <c r="T309" s="1">
        <v>1462.83</v>
      </c>
      <c r="U309" s="33">
        <v>0</v>
      </c>
      <c r="V309" s="33">
        <v>2042.83</v>
      </c>
      <c r="W309" s="1">
        <v>0</v>
      </c>
      <c r="X309" s="1">
        <v>1462.83</v>
      </c>
      <c r="Y309" s="1">
        <v>0</v>
      </c>
      <c r="Z309" s="1">
        <v>1462.83</v>
      </c>
      <c r="AA309" s="33">
        <v>0</v>
      </c>
      <c r="AB309" s="33">
        <v>1462.83</v>
      </c>
      <c r="AC309" s="33">
        <v>0</v>
      </c>
      <c r="AD309" s="33">
        <v>1462.83</v>
      </c>
      <c r="AE309" s="33">
        <v>0</v>
      </c>
      <c r="AF309" s="33">
        <v>122504.17</v>
      </c>
      <c r="AG309" s="1">
        <v>0</v>
      </c>
      <c r="AH309" s="1">
        <v>51223.24</v>
      </c>
      <c r="AI309" s="1">
        <v>0</v>
      </c>
      <c r="AJ309" s="1">
        <v>4605.14</v>
      </c>
      <c r="AK309" s="1">
        <v>0</v>
      </c>
      <c r="AL309" s="1">
        <v>1462.83</v>
      </c>
      <c r="AM309" s="9">
        <f t="shared" si="62"/>
        <v>0</v>
      </c>
      <c r="AN309" s="9">
        <f t="shared" si="63"/>
        <v>192078.02</v>
      </c>
      <c r="AO309" s="248">
        <f t="shared" si="64"/>
        <v>192078.02</v>
      </c>
      <c r="AP309" s="10"/>
      <c r="AQ309" s="10"/>
      <c r="AR309" s="10"/>
      <c r="AS309" s="10"/>
      <c r="AT309" s="163">
        <f t="shared" si="70"/>
        <v>192078.02</v>
      </c>
      <c r="AU309" s="2"/>
      <c r="AV309" s="2">
        <f>E309*0.65+(E309*0.69)*3</f>
        <v>1304.784</v>
      </c>
      <c r="AW309" s="168"/>
      <c r="AX309" s="21">
        <f t="shared" si="65"/>
        <v>-136778.20399999997</v>
      </c>
      <c r="AY309" s="26">
        <f>47393.3+13180.45</f>
        <v>60573.75</v>
      </c>
    </row>
    <row r="310" spans="1:51" ht="15.75">
      <c r="A310" s="1">
        <v>302</v>
      </c>
      <c r="B310" s="1" t="s">
        <v>302</v>
      </c>
      <c r="C310" s="1">
        <v>478.9</v>
      </c>
      <c r="D310" s="1">
        <v>0</v>
      </c>
      <c r="E310" s="1">
        <f t="shared" si="69"/>
        <v>478.9</v>
      </c>
      <c r="F310" s="2">
        <v>9.38</v>
      </c>
      <c r="G310" s="2">
        <f t="shared" si="72"/>
        <v>4492.082</v>
      </c>
      <c r="H310" s="2">
        <f t="shared" si="60"/>
        <v>26952.492000000002</v>
      </c>
      <c r="I310" s="2">
        <f t="shared" si="71"/>
        <v>9.38</v>
      </c>
      <c r="J310" s="2">
        <f t="shared" si="68"/>
        <v>4492.082</v>
      </c>
      <c r="K310" s="2">
        <f t="shared" si="61"/>
        <v>26952.492000000002</v>
      </c>
      <c r="L310" s="13">
        <f t="shared" si="66"/>
        <v>53904.984000000004</v>
      </c>
      <c r="M310" s="139"/>
      <c r="N310" s="34">
        <f t="shared" si="67"/>
        <v>53904.984000000004</v>
      </c>
      <c r="O310" s="152">
        <v>0</v>
      </c>
      <c r="P310" s="152">
        <v>1460.77</v>
      </c>
      <c r="Q310" s="1">
        <v>0</v>
      </c>
      <c r="R310" s="1">
        <v>4515.55</v>
      </c>
      <c r="S310" s="1">
        <v>0</v>
      </c>
      <c r="T310" s="1">
        <v>1460.77</v>
      </c>
      <c r="U310" s="33">
        <v>0</v>
      </c>
      <c r="V310" s="33">
        <v>2040.77</v>
      </c>
      <c r="W310" s="1">
        <v>0</v>
      </c>
      <c r="X310" s="1">
        <v>5874.31</v>
      </c>
      <c r="Y310" s="1">
        <v>0</v>
      </c>
      <c r="Z310" s="1">
        <v>1460.77</v>
      </c>
      <c r="AA310" s="33">
        <v>0</v>
      </c>
      <c r="AB310" s="33">
        <v>75860.77</v>
      </c>
      <c r="AC310" s="33">
        <v>0</v>
      </c>
      <c r="AD310" s="33">
        <v>1460.77</v>
      </c>
      <c r="AE310" s="33">
        <v>0</v>
      </c>
      <c r="AF310" s="33">
        <v>1460.77</v>
      </c>
      <c r="AG310" s="1">
        <v>0</v>
      </c>
      <c r="AH310" s="1">
        <v>58482.31</v>
      </c>
      <c r="AI310" s="1">
        <v>0</v>
      </c>
      <c r="AJ310" s="1">
        <v>1460.77</v>
      </c>
      <c r="AK310" s="1">
        <v>0</v>
      </c>
      <c r="AL310" s="1">
        <v>1460.77</v>
      </c>
      <c r="AM310" s="9">
        <f t="shared" si="62"/>
        <v>0</v>
      </c>
      <c r="AN310" s="9">
        <f t="shared" si="63"/>
        <v>156999.09999999998</v>
      </c>
      <c r="AO310" s="248">
        <f t="shared" si="64"/>
        <v>156999.09999999998</v>
      </c>
      <c r="AP310" s="10"/>
      <c r="AQ310" s="10"/>
      <c r="AR310" s="10"/>
      <c r="AS310" s="10"/>
      <c r="AT310" s="163">
        <f t="shared" si="70"/>
        <v>156999.09999999998</v>
      </c>
      <c r="AU310" s="2"/>
      <c r="AV310" s="2">
        <f>E310*0.65+(E310*0.69)*3</f>
        <v>1302.6079999999997</v>
      </c>
      <c r="AW310" s="168"/>
      <c r="AX310" s="21">
        <f t="shared" si="65"/>
        <v>-101791.50799999999</v>
      </c>
      <c r="AY310" s="26">
        <f>256893.99+71519.15</f>
        <v>328413.14</v>
      </c>
    </row>
    <row r="311" spans="1:51" ht="15.75">
      <c r="A311" s="1">
        <v>303</v>
      </c>
      <c r="B311" s="1" t="s">
        <v>303</v>
      </c>
      <c r="C311" s="1">
        <v>3376</v>
      </c>
      <c r="D311" s="1">
        <v>124.1</v>
      </c>
      <c r="E311" s="1">
        <f t="shared" si="69"/>
        <v>3500.1</v>
      </c>
      <c r="F311" s="2">
        <v>14.96</v>
      </c>
      <c r="G311" s="2">
        <f t="shared" si="72"/>
        <v>52361.496</v>
      </c>
      <c r="H311" s="2">
        <f t="shared" si="60"/>
        <v>314168.976</v>
      </c>
      <c r="I311" s="2">
        <f t="shared" si="71"/>
        <v>14.96</v>
      </c>
      <c r="J311" s="2">
        <f t="shared" si="68"/>
        <v>52361.496</v>
      </c>
      <c r="K311" s="2">
        <f t="shared" si="61"/>
        <v>314168.976</v>
      </c>
      <c r="L311" s="13">
        <f t="shared" si="66"/>
        <v>628337.952</v>
      </c>
      <c r="M311" s="139">
        <v>-21968.54</v>
      </c>
      <c r="N311" s="34">
        <f t="shared" si="67"/>
        <v>606369.412</v>
      </c>
      <c r="O311" s="152">
        <v>45927</v>
      </c>
      <c r="P311" s="152">
        <v>16132.65</v>
      </c>
      <c r="Q311" s="1">
        <v>61050.87</v>
      </c>
      <c r="R311" s="1">
        <v>14195.93</v>
      </c>
      <c r="S311" s="1">
        <v>7011.83</v>
      </c>
      <c r="T311" s="1">
        <v>9224.74</v>
      </c>
      <c r="U311" s="33">
        <v>9124.05</v>
      </c>
      <c r="V311" s="33">
        <v>10384.74</v>
      </c>
      <c r="W311" s="1">
        <v>13719.61</v>
      </c>
      <c r="X311" s="1">
        <v>9224.74</v>
      </c>
      <c r="Y311" s="1">
        <v>140282.42</v>
      </c>
      <c r="Z311" s="1">
        <v>24730.92</v>
      </c>
      <c r="AA311" s="33">
        <v>19082.28</v>
      </c>
      <c r="AB311" s="33">
        <v>11853.48</v>
      </c>
      <c r="AC311" s="33">
        <v>47193.47</v>
      </c>
      <c r="AD311" s="33">
        <v>9224.74</v>
      </c>
      <c r="AE311" s="33">
        <v>23245.48</v>
      </c>
      <c r="AF311" s="33">
        <v>13728.47</v>
      </c>
      <c r="AG311" s="1">
        <v>8516.33</v>
      </c>
      <c r="AH311" s="1">
        <v>10385.15</v>
      </c>
      <c r="AI311" s="1">
        <v>8869.79</v>
      </c>
      <c r="AJ311" s="1">
        <v>12643.87</v>
      </c>
      <c r="AK311" s="1">
        <v>19126.23</v>
      </c>
      <c r="AL311" s="1">
        <v>9224.74</v>
      </c>
      <c r="AM311" s="9">
        <f t="shared" si="62"/>
        <v>403149.36</v>
      </c>
      <c r="AN311" s="9">
        <f t="shared" si="63"/>
        <v>150954.16999999998</v>
      </c>
      <c r="AO311" s="248">
        <f t="shared" si="64"/>
        <v>554103.53</v>
      </c>
      <c r="AP311" s="10"/>
      <c r="AQ311" s="10">
        <f>(239794.55-19354.28)+117298.9+9159+238923.92+5452.47</f>
        <v>591274.5599999999</v>
      </c>
      <c r="AR311" s="10">
        <v>1784.35</v>
      </c>
      <c r="AS311" s="10"/>
      <c r="AT311" s="163">
        <f t="shared" si="70"/>
        <v>1147162.44</v>
      </c>
      <c r="AU311" s="2"/>
      <c r="AV311" s="2"/>
      <c r="AW311" s="168">
        <v>8256</v>
      </c>
      <c r="AX311" s="21">
        <f t="shared" si="65"/>
        <v>-532537.0279999999</v>
      </c>
      <c r="AY311" s="26">
        <v>500847.01</v>
      </c>
    </row>
    <row r="312" spans="1:51" ht="15.75">
      <c r="A312" s="1">
        <v>304</v>
      </c>
      <c r="B312" s="1" t="s">
        <v>304</v>
      </c>
      <c r="C312" s="1">
        <v>643.7</v>
      </c>
      <c r="D312" s="1">
        <v>0</v>
      </c>
      <c r="E312" s="1">
        <f t="shared" si="69"/>
        <v>643.7</v>
      </c>
      <c r="F312" s="2">
        <v>9.16</v>
      </c>
      <c r="G312" s="2">
        <f t="shared" si="72"/>
        <v>5896.292</v>
      </c>
      <c r="H312" s="2">
        <f t="shared" si="60"/>
        <v>35377.752</v>
      </c>
      <c r="I312" s="2">
        <f t="shared" si="71"/>
        <v>9.16</v>
      </c>
      <c r="J312" s="2">
        <f t="shared" si="68"/>
        <v>5896.292</v>
      </c>
      <c r="K312" s="2">
        <f t="shared" si="61"/>
        <v>35377.752</v>
      </c>
      <c r="L312" s="13">
        <f t="shared" si="66"/>
        <v>70755.504</v>
      </c>
      <c r="M312" s="139"/>
      <c r="N312" s="34">
        <f t="shared" si="67"/>
        <v>70755.504</v>
      </c>
      <c r="O312" s="152">
        <v>0</v>
      </c>
      <c r="P312" s="152">
        <v>1883.02</v>
      </c>
      <c r="Q312" s="1">
        <v>0</v>
      </c>
      <c r="R312" s="1">
        <v>1883.02</v>
      </c>
      <c r="S312" s="1">
        <v>0</v>
      </c>
      <c r="T312" s="1">
        <v>1883.02</v>
      </c>
      <c r="U312" s="33">
        <v>0</v>
      </c>
      <c r="V312" s="33">
        <v>2463.02</v>
      </c>
      <c r="W312" s="1">
        <v>0</v>
      </c>
      <c r="X312" s="1">
        <v>1883.02</v>
      </c>
      <c r="Y312" s="1">
        <v>0</v>
      </c>
      <c r="Z312" s="1">
        <v>1883.02</v>
      </c>
      <c r="AA312" s="33">
        <v>0</v>
      </c>
      <c r="AB312" s="33">
        <v>1883.02</v>
      </c>
      <c r="AC312" s="33">
        <v>0</v>
      </c>
      <c r="AD312" s="33">
        <v>1883.02</v>
      </c>
      <c r="AE312" s="33">
        <v>0</v>
      </c>
      <c r="AF312" s="33">
        <v>1883.02</v>
      </c>
      <c r="AG312" s="1">
        <v>0</v>
      </c>
      <c r="AH312" s="1">
        <v>3043.43</v>
      </c>
      <c r="AI312" s="1">
        <v>0</v>
      </c>
      <c r="AJ312" s="1">
        <v>1883.02</v>
      </c>
      <c r="AK312" s="1">
        <v>0</v>
      </c>
      <c r="AL312" s="1">
        <v>1883.02</v>
      </c>
      <c r="AM312" s="9">
        <f t="shared" si="62"/>
        <v>0</v>
      </c>
      <c r="AN312" s="9">
        <f t="shared" si="63"/>
        <v>24336.65</v>
      </c>
      <c r="AO312" s="248">
        <f t="shared" si="64"/>
        <v>24336.65</v>
      </c>
      <c r="AP312" s="10"/>
      <c r="AQ312" s="10"/>
      <c r="AR312" s="10"/>
      <c r="AS312" s="10"/>
      <c r="AT312" s="163">
        <f t="shared" si="70"/>
        <v>24336.65</v>
      </c>
      <c r="AU312" s="2"/>
      <c r="AV312" s="2"/>
      <c r="AW312" s="168"/>
      <c r="AX312" s="21">
        <f t="shared" si="65"/>
        <v>46418.854</v>
      </c>
      <c r="AY312" s="26">
        <v>44289.67</v>
      </c>
    </row>
    <row r="313" spans="1:51" ht="15.75">
      <c r="A313" s="1">
        <v>305</v>
      </c>
      <c r="B313" s="1" t="s">
        <v>305</v>
      </c>
      <c r="C313" s="1">
        <v>403.4</v>
      </c>
      <c r="D313" s="1">
        <v>0</v>
      </c>
      <c r="E313" s="1">
        <f t="shared" si="69"/>
        <v>403.4</v>
      </c>
      <c r="F313" s="2">
        <v>9.27</v>
      </c>
      <c r="G313" s="2">
        <f t="shared" si="72"/>
        <v>3739.5179999999996</v>
      </c>
      <c r="H313" s="2">
        <f t="shared" si="60"/>
        <v>22437.107999999997</v>
      </c>
      <c r="I313" s="2">
        <f t="shared" si="71"/>
        <v>9.27</v>
      </c>
      <c r="J313" s="2">
        <f t="shared" si="68"/>
        <v>3739.5179999999996</v>
      </c>
      <c r="K313" s="2">
        <f t="shared" si="61"/>
        <v>22437.107999999997</v>
      </c>
      <c r="L313" s="13">
        <f t="shared" si="66"/>
        <v>44874.21599999999</v>
      </c>
      <c r="M313" s="139"/>
      <c r="N313" s="34">
        <f t="shared" si="67"/>
        <v>44874.21599999999</v>
      </c>
      <c r="O313" s="152">
        <v>0</v>
      </c>
      <c r="P313" s="152">
        <v>1036.74</v>
      </c>
      <c r="Q313" s="1">
        <v>0</v>
      </c>
      <c r="R313" s="1">
        <v>3289.21</v>
      </c>
      <c r="S313" s="1">
        <v>0</v>
      </c>
      <c r="T313" s="1">
        <v>1036.74</v>
      </c>
      <c r="U313" s="33">
        <v>0</v>
      </c>
      <c r="V313" s="33">
        <v>1616.74</v>
      </c>
      <c r="W313" s="1">
        <v>0</v>
      </c>
      <c r="X313" s="1">
        <v>1036.74</v>
      </c>
      <c r="Y313" s="1">
        <v>0</v>
      </c>
      <c r="Z313" s="1">
        <v>1036.74</v>
      </c>
      <c r="AA313" s="33">
        <v>0</v>
      </c>
      <c r="AB313" s="33">
        <v>1036.74</v>
      </c>
      <c r="AC313" s="33">
        <v>0</v>
      </c>
      <c r="AD313" s="33">
        <v>1036.74</v>
      </c>
      <c r="AE313" s="33">
        <v>0</v>
      </c>
      <c r="AF313" s="33">
        <v>1036.74</v>
      </c>
      <c r="AG313" s="1">
        <v>0</v>
      </c>
      <c r="AH313" s="1">
        <v>2197.15</v>
      </c>
      <c r="AI313" s="1">
        <v>0</v>
      </c>
      <c r="AJ313" s="1">
        <v>1036.74</v>
      </c>
      <c r="AK313" s="1">
        <v>0</v>
      </c>
      <c r="AL313" s="1">
        <v>48320.62</v>
      </c>
      <c r="AM313" s="9">
        <f t="shared" si="62"/>
        <v>0</v>
      </c>
      <c r="AN313" s="9">
        <f t="shared" si="63"/>
        <v>63717.64</v>
      </c>
      <c r="AO313" s="248">
        <f t="shared" si="64"/>
        <v>63717.64</v>
      </c>
      <c r="AP313" s="10"/>
      <c r="AQ313" s="10"/>
      <c r="AR313" s="10"/>
      <c r="AS313" s="10"/>
      <c r="AT313" s="163">
        <f t="shared" si="70"/>
        <v>63717.64</v>
      </c>
      <c r="AU313" s="2"/>
      <c r="AV313" s="2"/>
      <c r="AW313" s="168"/>
      <c r="AX313" s="21">
        <f t="shared" si="65"/>
        <v>-18843.424000000006</v>
      </c>
      <c r="AY313" s="26">
        <v>74463.21</v>
      </c>
    </row>
    <row r="314" spans="1:78" s="18" customFormat="1" ht="15.75">
      <c r="A314" s="1">
        <v>306</v>
      </c>
      <c r="B314" s="1" t="s">
        <v>306</v>
      </c>
      <c r="C314" s="1">
        <v>479.8</v>
      </c>
      <c r="D314" s="1">
        <v>0</v>
      </c>
      <c r="E314" s="1">
        <f t="shared" si="69"/>
        <v>479.8</v>
      </c>
      <c r="F314" s="2">
        <v>9.38</v>
      </c>
      <c r="G314" s="2">
        <f t="shared" si="72"/>
        <v>4500.524</v>
      </c>
      <c r="H314" s="2">
        <f t="shared" si="60"/>
        <v>27003.144</v>
      </c>
      <c r="I314" s="2">
        <f t="shared" si="71"/>
        <v>9.38</v>
      </c>
      <c r="J314" s="2">
        <f t="shared" si="68"/>
        <v>4500.524</v>
      </c>
      <c r="K314" s="2">
        <f t="shared" si="61"/>
        <v>27003.144</v>
      </c>
      <c r="L314" s="13">
        <f t="shared" si="66"/>
        <v>54006.288</v>
      </c>
      <c r="M314" s="139">
        <v>-12104.52</v>
      </c>
      <c r="N314" s="34">
        <f t="shared" si="67"/>
        <v>41901.768</v>
      </c>
      <c r="O314" s="152">
        <v>0</v>
      </c>
      <c r="P314" s="152">
        <v>1463.09</v>
      </c>
      <c r="Q314" s="1">
        <v>0</v>
      </c>
      <c r="R314" s="1">
        <v>4517.87</v>
      </c>
      <c r="S314" s="1">
        <v>0</v>
      </c>
      <c r="T314" s="1">
        <v>1463.09</v>
      </c>
      <c r="U314" s="33">
        <v>0</v>
      </c>
      <c r="V314" s="33">
        <v>2043.09</v>
      </c>
      <c r="W314" s="1">
        <v>0</v>
      </c>
      <c r="X314" s="1">
        <v>2564.5</v>
      </c>
      <c r="Y314" s="1">
        <v>0</v>
      </c>
      <c r="Z314" s="1">
        <v>1463.09</v>
      </c>
      <c r="AA314" s="33">
        <v>0</v>
      </c>
      <c r="AB314" s="33">
        <v>1463.09</v>
      </c>
      <c r="AC314" s="33">
        <v>0</v>
      </c>
      <c r="AD314" s="33">
        <v>46750.28</v>
      </c>
      <c r="AE314" s="33">
        <v>0</v>
      </c>
      <c r="AF314" s="33">
        <v>1463.09</v>
      </c>
      <c r="AG314" s="1">
        <v>0</v>
      </c>
      <c r="AH314" s="1">
        <v>11148.82</v>
      </c>
      <c r="AI314" s="1">
        <v>0</v>
      </c>
      <c r="AJ314" s="1">
        <v>1463.09</v>
      </c>
      <c r="AK314" s="1">
        <v>0</v>
      </c>
      <c r="AL314" s="1">
        <v>1463.09</v>
      </c>
      <c r="AM314" s="9">
        <f t="shared" si="62"/>
        <v>0</v>
      </c>
      <c r="AN314" s="9">
        <f t="shared" si="63"/>
        <v>77266.18999999999</v>
      </c>
      <c r="AO314" s="248">
        <f t="shared" si="64"/>
        <v>77266.18999999999</v>
      </c>
      <c r="AP314" s="10"/>
      <c r="AQ314" s="10"/>
      <c r="AR314" s="10"/>
      <c r="AS314" s="10"/>
      <c r="AT314" s="163">
        <f t="shared" si="70"/>
        <v>77266.18999999999</v>
      </c>
      <c r="AU314" s="2"/>
      <c r="AV314" s="2">
        <f>E314*0.65+(E314*0.69)*3</f>
        <v>1305.056</v>
      </c>
      <c r="AW314" s="168"/>
      <c r="AX314" s="21">
        <f t="shared" si="65"/>
        <v>-34059.365999999995</v>
      </c>
      <c r="AY314" s="26">
        <v>21657.12</v>
      </c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</row>
    <row r="315" spans="1:51" ht="15.75">
      <c r="A315" s="1">
        <v>307</v>
      </c>
      <c r="B315" s="1" t="s">
        <v>307</v>
      </c>
      <c r="C315" s="1">
        <v>368.3</v>
      </c>
      <c r="D315" s="1">
        <v>0</v>
      </c>
      <c r="E315" s="1">
        <f t="shared" si="69"/>
        <v>368.3</v>
      </c>
      <c r="F315" s="2">
        <v>11.22</v>
      </c>
      <c r="G315" s="2">
        <f t="shared" si="72"/>
        <v>4132.326</v>
      </c>
      <c r="H315" s="2">
        <f t="shared" si="60"/>
        <v>24793.956</v>
      </c>
      <c r="I315" s="2">
        <f t="shared" si="71"/>
        <v>11.22</v>
      </c>
      <c r="J315" s="2">
        <f t="shared" si="68"/>
        <v>4132.326</v>
      </c>
      <c r="K315" s="2">
        <f t="shared" si="61"/>
        <v>24793.956</v>
      </c>
      <c r="L315" s="13">
        <f t="shared" si="66"/>
        <v>49587.912</v>
      </c>
      <c r="M315" s="139"/>
      <c r="N315" s="34">
        <f t="shared" si="67"/>
        <v>49587.912</v>
      </c>
      <c r="O315" s="152">
        <v>0</v>
      </c>
      <c r="P315" s="152">
        <v>946.53</v>
      </c>
      <c r="Q315" s="1">
        <v>15081.12</v>
      </c>
      <c r="R315" s="1">
        <v>946.53</v>
      </c>
      <c r="S315" s="1">
        <v>0</v>
      </c>
      <c r="T315" s="1">
        <v>946.53</v>
      </c>
      <c r="U315" s="33">
        <v>46056</v>
      </c>
      <c r="V315" s="33">
        <v>1526.53</v>
      </c>
      <c r="W315" s="1">
        <v>0</v>
      </c>
      <c r="X315" s="1">
        <v>946.53</v>
      </c>
      <c r="Y315" s="1">
        <v>0</v>
      </c>
      <c r="Z315" s="1">
        <v>946.53</v>
      </c>
      <c r="AA315" s="33">
        <v>0</v>
      </c>
      <c r="AB315" s="33">
        <v>946.53</v>
      </c>
      <c r="AC315" s="33">
        <v>0</v>
      </c>
      <c r="AD315" s="33">
        <v>10673.57</v>
      </c>
      <c r="AE315" s="33">
        <v>0</v>
      </c>
      <c r="AF315" s="33">
        <v>946.53</v>
      </c>
      <c r="AG315" s="1">
        <v>0</v>
      </c>
      <c r="AH315" s="1">
        <v>2395.74</v>
      </c>
      <c r="AI315" s="1">
        <v>0</v>
      </c>
      <c r="AJ315" s="1">
        <v>946.53</v>
      </c>
      <c r="AK315" s="1">
        <v>0</v>
      </c>
      <c r="AL315" s="1">
        <v>946.53</v>
      </c>
      <c r="AM315" s="9">
        <f t="shared" si="62"/>
        <v>61137.12</v>
      </c>
      <c r="AN315" s="9">
        <f t="shared" si="63"/>
        <v>23114.609999999993</v>
      </c>
      <c r="AO315" s="248">
        <f t="shared" si="64"/>
        <v>84251.73</v>
      </c>
      <c r="AP315" s="10"/>
      <c r="AQ315" s="10"/>
      <c r="AR315" s="10"/>
      <c r="AS315" s="10"/>
      <c r="AT315" s="163">
        <f t="shared" si="70"/>
        <v>84251.73</v>
      </c>
      <c r="AU315" s="2"/>
      <c r="AV315" s="2"/>
      <c r="AW315" s="168"/>
      <c r="AX315" s="21">
        <f t="shared" si="65"/>
        <v>-34663.818</v>
      </c>
      <c r="AY315" s="26">
        <v>63952.22</v>
      </c>
    </row>
    <row r="316" spans="1:51" ht="15.75">
      <c r="A316" s="1">
        <v>308</v>
      </c>
      <c r="B316" s="1" t="s">
        <v>308</v>
      </c>
      <c r="C316" s="1">
        <v>353.7</v>
      </c>
      <c r="D316" s="1">
        <v>0</v>
      </c>
      <c r="E316" s="1">
        <f t="shared" si="69"/>
        <v>353.7</v>
      </c>
      <c r="F316" s="2">
        <v>7.69</v>
      </c>
      <c r="G316" s="2">
        <f t="shared" si="72"/>
        <v>2719.953</v>
      </c>
      <c r="H316" s="2">
        <f t="shared" si="60"/>
        <v>16319.718</v>
      </c>
      <c r="I316" s="2">
        <f t="shared" si="71"/>
        <v>7.69</v>
      </c>
      <c r="J316" s="2">
        <f t="shared" si="68"/>
        <v>2719.953</v>
      </c>
      <c r="K316" s="2">
        <f t="shared" si="61"/>
        <v>16319.718</v>
      </c>
      <c r="L316" s="13">
        <f t="shared" si="66"/>
        <v>32639.436</v>
      </c>
      <c r="M316" s="139"/>
      <c r="N316" s="34">
        <f t="shared" si="67"/>
        <v>32639.436</v>
      </c>
      <c r="O316" s="152">
        <v>0</v>
      </c>
      <c r="P316" s="152">
        <v>909.01</v>
      </c>
      <c r="Q316" s="1">
        <v>0</v>
      </c>
      <c r="R316" s="1">
        <v>909.01</v>
      </c>
      <c r="S316" s="1">
        <v>0</v>
      </c>
      <c r="T316" s="1">
        <v>909.01</v>
      </c>
      <c r="U316" s="33">
        <v>0</v>
      </c>
      <c r="V316" s="33">
        <v>1489.01</v>
      </c>
      <c r="W316" s="1">
        <v>0</v>
      </c>
      <c r="X316" s="1">
        <v>909.01</v>
      </c>
      <c r="Y316" s="1">
        <v>0</v>
      </c>
      <c r="Z316" s="1">
        <v>909.01</v>
      </c>
      <c r="AA316" s="33">
        <v>0</v>
      </c>
      <c r="AB316" s="33">
        <v>909.01</v>
      </c>
      <c r="AC316" s="33">
        <v>0</v>
      </c>
      <c r="AD316" s="33">
        <v>909.01</v>
      </c>
      <c r="AE316" s="33">
        <v>0</v>
      </c>
      <c r="AF316" s="33">
        <v>909.01</v>
      </c>
      <c r="AG316" s="1">
        <v>0</v>
      </c>
      <c r="AH316" s="1">
        <v>2521.94</v>
      </c>
      <c r="AI316" s="1">
        <v>0</v>
      </c>
      <c r="AJ316" s="1">
        <v>909.01</v>
      </c>
      <c r="AK316" s="1">
        <v>0</v>
      </c>
      <c r="AL316" s="1">
        <v>909.01</v>
      </c>
      <c r="AM316" s="9">
        <f aca="true" t="shared" si="73" ref="AM316:AN320">O316+Q316+S316+U316+W316+Y316+AA316+AC316+AE316+AG316+AI316+AK316</f>
        <v>0</v>
      </c>
      <c r="AN316" s="9">
        <f t="shared" si="73"/>
        <v>13101.050000000001</v>
      </c>
      <c r="AO316" s="248">
        <f>AM316+AN316</f>
        <v>13101.050000000001</v>
      </c>
      <c r="AP316" s="10"/>
      <c r="AQ316" s="10"/>
      <c r="AR316" s="10"/>
      <c r="AS316" s="10"/>
      <c r="AT316" s="163">
        <f t="shared" si="70"/>
        <v>13101.050000000001</v>
      </c>
      <c r="AU316" s="2"/>
      <c r="AV316" s="2"/>
      <c r="AW316" s="168"/>
      <c r="AX316" s="21">
        <f t="shared" si="65"/>
        <v>19538.386</v>
      </c>
      <c r="AY316" s="26">
        <v>246307.46</v>
      </c>
    </row>
    <row r="317" spans="1:51" ht="15.75">
      <c r="A317" s="1">
        <v>309</v>
      </c>
      <c r="B317" s="1" t="s">
        <v>309</v>
      </c>
      <c r="C317" s="1">
        <v>53.2</v>
      </c>
      <c r="D317" s="1">
        <v>0</v>
      </c>
      <c r="E317" s="1">
        <f t="shared" si="69"/>
        <v>53.2</v>
      </c>
      <c r="F317" s="2">
        <v>6.35</v>
      </c>
      <c r="G317" s="2">
        <f t="shared" si="72"/>
        <v>337.82</v>
      </c>
      <c r="H317" s="2">
        <f>G317*6</f>
        <v>2026.92</v>
      </c>
      <c r="I317" s="2">
        <f t="shared" si="71"/>
        <v>6.35</v>
      </c>
      <c r="J317" s="2">
        <f t="shared" si="68"/>
        <v>337.82</v>
      </c>
      <c r="K317" s="2">
        <f>J317*6</f>
        <v>2026.92</v>
      </c>
      <c r="L317" s="13">
        <f t="shared" si="66"/>
        <v>4053.84</v>
      </c>
      <c r="M317" s="139"/>
      <c r="N317" s="34">
        <f t="shared" si="67"/>
        <v>4053.84</v>
      </c>
      <c r="O317" s="152">
        <v>0</v>
      </c>
      <c r="P317" s="152">
        <v>136.72</v>
      </c>
      <c r="Q317" s="1">
        <v>0</v>
      </c>
      <c r="R317" s="1">
        <v>136.72</v>
      </c>
      <c r="S317" s="1">
        <v>0</v>
      </c>
      <c r="T317" s="1">
        <v>136.72</v>
      </c>
      <c r="U317" s="33">
        <v>0</v>
      </c>
      <c r="V317" s="33">
        <v>716.72</v>
      </c>
      <c r="W317" s="1">
        <v>0</v>
      </c>
      <c r="X317" s="1">
        <v>136.72</v>
      </c>
      <c r="Y317" s="1">
        <v>0</v>
      </c>
      <c r="Z317" s="1">
        <v>136.72</v>
      </c>
      <c r="AA317" s="33">
        <v>0</v>
      </c>
      <c r="AB317" s="33">
        <v>136.72</v>
      </c>
      <c r="AC317" s="33">
        <v>0</v>
      </c>
      <c r="AD317" s="33">
        <v>136.72</v>
      </c>
      <c r="AE317" s="33">
        <v>0</v>
      </c>
      <c r="AF317" s="33">
        <v>136.72</v>
      </c>
      <c r="AG317" s="1">
        <v>0</v>
      </c>
      <c r="AH317" s="1">
        <v>1297.13</v>
      </c>
      <c r="AI317" s="1">
        <v>0</v>
      </c>
      <c r="AJ317" s="1">
        <v>136.72</v>
      </c>
      <c r="AK317" s="1">
        <v>0</v>
      </c>
      <c r="AL317" s="1">
        <v>136.72</v>
      </c>
      <c r="AM317" s="9">
        <f t="shared" si="73"/>
        <v>0</v>
      </c>
      <c r="AN317" s="9">
        <f t="shared" si="73"/>
        <v>3381.05</v>
      </c>
      <c r="AO317" s="248">
        <f>AM317+AN317</f>
        <v>3381.05</v>
      </c>
      <c r="AP317" s="10"/>
      <c r="AQ317" s="10"/>
      <c r="AR317" s="10"/>
      <c r="AS317" s="10"/>
      <c r="AT317" s="163">
        <f t="shared" si="70"/>
        <v>3381.05</v>
      </c>
      <c r="AU317" s="2"/>
      <c r="AV317" s="2"/>
      <c r="AW317" s="168"/>
      <c r="AX317" s="21">
        <f t="shared" si="65"/>
        <v>672.79</v>
      </c>
      <c r="AY317" s="26">
        <v>58529.54</v>
      </c>
    </row>
    <row r="318" spans="1:51" ht="15.75">
      <c r="A318" s="1">
        <v>310</v>
      </c>
      <c r="B318" s="1" t="s">
        <v>310</v>
      </c>
      <c r="C318" s="1">
        <v>903.9</v>
      </c>
      <c r="D318" s="1">
        <v>0</v>
      </c>
      <c r="E318" s="1">
        <f t="shared" si="69"/>
        <v>903.9</v>
      </c>
      <c r="F318" s="2">
        <v>15.02</v>
      </c>
      <c r="G318" s="2">
        <f t="shared" si="72"/>
        <v>13576.578</v>
      </c>
      <c r="H318" s="2">
        <f>G318*6</f>
        <v>81459.468</v>
      </c>
      <c r="I318" s="2">
        <f t="shared" si="71"/>
        <v>15.02</v>
      </c>
      <c r="J318" s="2">
        <f t="shared" si="68"/>
        <v>13576.578</v>
      </c>
      <c r="K318" s="2">
        <f>J318*6</f>
        <v>81459.468</v>
      </c>
      <c r="L318" s="13">
        <f>H318+K318</f>
        <v>162918.936</v>
      </c>
      <c r="M318" s="139"/>
      <c r="N318" s="34">
        <f t="shared" si="67"/>
        <v>162918.936</v>
      </c>
      <c r="O318" s="152">
        <v>0</v>
      </c>
      <c r="P318" s="152">
        <v>2553.02</v>
      </c>
      <c r="Q318" s="1">
        <v>0</v>
      </c>
      <c r="R318" s="1">
        <v>2553.02</v>
      </c>
      <c r="S318" s="1">
        <v>0</v>
      </c>
      <c r="T318" s="1">
        <v>7162.32</v>
      </c>
      <c r="U318" s="33">
        <v>0</v>
      </c>
      <c r="V318" s="33">
        <v>6546.35</v>
      </c>
      <c r="W318" s="1">
        <v>0</v>
      </c>
      <c r="X318" s="1">
        <v>2553.02</v>
      </c>
      <c r="Y318" s="1">
        <v>0</v>
      </c>
      <c r="Z318" s="1">
        <v>13679.89</v>
      </c>
      <c r="AA318" s="33">
        <v>0</v>
      </c>
      <c r="AB318" s="33">
        <v>3183.02</v>
      </c>
      <c r="AC318" s="33">
        <v>0</v>
      </c>
      <c r="AD318" s="33">
        <v>2553.02</v>
      </c>
      <c r="AE318" s="33">
        <v>0</v>
      </c>
      <c r="AF318" s="33">
        <v>31440.95</v>
      </c>
      <c r="AG318" s="1">
        <v>0</v>
      </c>
      <c r="AH318" s="1">
        <v>16309.35</v>
      </c>
      <c r="AI318" s="1">
        <v>0</v>
      </c>
      <c r="AJ318" s="1">
        <v>2553.02</v>
      </c>
      <c r="AK318" s="1">
        <v>0</v>
      </c>
      <c r="AL318" s="1">
        <v>2942.01</v>
      </c>
      <c r="AM318" s="9">
        <f t="shared" si="73"/>
        <v>0</v>
      </c>
      <c r="AN318" s="9">
        <f t="shared" si="73"/>
        <v>94028.98999999999</v>
      </c>
      <c r="AO318" s="248">
        <f>AM318+AN318</f>
        <v>94028.98999999999</v>
      </c>
      <c r="AP318" s="10"/>
      <c r="AQ318" s="10"/>
      <c r="AR318" s="10"/>
      <c r="AS318" s="10"/>
      <c r="AT318" s="163">
        <f t="shared" si="70"/>
        <v>94028.98999999999</v>
      </c>
      <c r="AU318" s="2"/>
      <c r="AV318" s="2"/>
      <c r="AW318" s="168"/>
      <c r="AX318" s="21">
        <f t="shared" si="65"/>
        <v>68889.946</v>
      </c>
      <c r="AY318" s="26">
        <v>19096.76</v>
      </c>
    </row>
    <row r="319" spans="1:51" ht="15.75">
      <c r="A319" s="1">
        <v>311</v>
      </c>
      <c r="B319" s="1" t="s">
        <v>311</v>
      </c>
      <c r="C319" s="1">
        <v>526.4</v>
      </c>
      <c r="D319" s="1">
        <v>0</v>
      </c>
      <c r="E319" s="1">
        <f t="shared" si="69"/>
        <v>526.4</v>
      </c>
      <c r="F319" s="2">
        <v>7.69</v>
      </c>
      <c r="G319" s="2">
        <f t="shared" si="72"/>
        <v>4048.016</v>
      </c>
      <c r="H319" s="2">
        <f>G319*6</f>
        <v>24288.096</v>
      </c>
      <c r="I319" s="2">
        <f t="shared" si="71"/>
        <v>7.69</v>
      </c>
      <c r="J319" s="2">
        <f>E319*I319</f>
        <v>4048.016</v>
      </c>
      <c r="K319" s="2">
        <f>J319*6</f>
        <v>24288.096</v>
      </c>
      <c r="L319" s="13">
        <f>H319+K319</f>
        <v>48576.192</v>
      </c>
      <c r="M319" s="139"/>
      <c r="N319" s="34">
        <f t="shared" si="67"/>
        <v>48576.192</v>
      </c>
      <c r="O319" s="152">
        <v>0</v>
      </c>
      <c r="P319" s="152">
        <v>1352.85</v>
      </c>
      <c r="Q319" s="1">
        <v>0</v>
      </c>
      <c r="R319" s="1">
        <v>1352.85</v>
      </c>
      <c r="S319" s="1">
        <v>0</v>
      </c>
      <c r="T319" s="1">
        <v>1352.85</v>
      </c>
      <c r="U319" s="33">
        <v>0</v>
      </c>
      <c r="V319" s="33">
        <v>1932.85</v>
      </c>
      <c r="W319" s="1">
        <v>0</v>
      </c>
      <c r="X319" s="1">
        <v>1352.85</v>
      </c>
      <c r="Y319" s="1">
        <v>0</v>
      </c>
      <c r="Z319" s="1">
        <v>1352.85</v>
      </c>
      <c r="AA319" s="33">
        <v>0</v>
      </c>
      <c r="AB319" s="33">
        <v>1352.85</v>
      </c>
      <c r="AC319" s="33">
        <v>0</v>
      </c>
      <c r="AD319" s="33">
        <v>1442.85</v>
      </c>
      <c r="AE319" s="33">
        <v>0</v>
      </c>
      <c r="AF319" s="33">
        <v>1352.85</v>
      </c>
      <c r="AG319" s="1">
        <v>0</v>
      </c>
      <c r="AH319" s="1">
        <v>2168.51</v>
      </c>
      <c r="AI319" s="1">
        <v>0</v>
      </c>
      <c r="AJ319" s="1">
        <v>1352.85</v>
      </c>
      <c r="AK319" s="1">
        <v>0</v>
      </c>
      <c r="AL319" s="1">
        <v>1352.85</v>
      </c>
      <c r="AM319" s="9">
        <f t="shared" si="73"/>
        <v>0</v>
      </c>
      <c r="AN319" s="9">
        <f t="shared" si="73"/>
        <v>17719.86</v>
      </c>
      <c r="AO319" s="248">
        <f>AM319+AN319</f>
        <v>17719.86</v>
      </c>
      <c r="AP319" s="10"/>
      <c r="AQ319" s="10"/>
      <c r="AR319" s="10"/>
      <c r="AS319" s="10"/>
      <c r="AT319" s="163">
        <f t="shared" si="70"/>
        <v>17719.86</v>
      </c>
      <c r="AU319" s="2"/>
      <c r="AV319" s="2"/>
      <c r="AW319" s="168"/>
      <c r="AX319" s="21">
        <f t="shared" si="65"/>
        <v>30856.332000000002</v>
      </c>
      <c r="AY319" s="26">
        <f>185777.73+82856.31</f>
        <v>268634.04000000004</v>
      </c>
    </row>
    <row r="320" spans="1:51" ht="15.75">
      <c r="A320" s="1">
        <v>312</v>
      </c>
      <c r="B320" s="1" t="s">
        <v>322</v>
      </c>
      <c r="C320" s="1">
        <v>405.8</v>
      </c>
      <c r="D320" s="1">
        <v>0</v>
      </c>
      <c r="E320" s="1">
        <f t="shared" si="69"/>
        <v>405.8</v>
      </c>
      <c r="F320" s="2">
        <v>7.69</v>
      </c>
      <c r="G320" s="2">
        <f t="shared" si="72"/>
        <v>3120.6020000000003</v>
      </c>
      <c r="H320" s="2">
        <f>G320*6</f>
        <v>18723.612</v>
      </c>
      <c r="I320" s="2">
        <f t="shared" si="71"/>
        <v>7.69</v>
      </c>
      <c r="J320" s="2">
        <f>E320*I320</f>
        <v>3120.6020000000003</v>
      </c>
      <c r="K320" s="2">
        <f>J320*6</f>
        <v>18723.612</v>
      </c>
      <c r="L320" s="13">
        <f>H320+K320</f>
        <v>37447.224</v>
      </c>
      <c r="M320" s="139"/>
      <c r="N320" s="34">
        <f t="shared" si="67"/>
        <v>37447.224</v>
      </c>
      <c r="O320" s="152">
        <v>0</v>
      </c>
      <c r="P320" s="152">
        <v>1042.91</v>
      </c>
      <c r="Q320" s="1">
        <v>0</v>
      </c>
      <c r="R320" s="1">
        <v>1042.91</v>
      </c>
      <c r="S320" s="1">
        <v>0</v>
      </c>
      <c r="T320" s="1">
        <v>1042.91</v>
      </c>
      <c r="U320" s="33">
        <v>0</v>
      </c>
      <c r="V320" s="33">
        <v>1622.91</v>
      </c>
      <c r="W320" s="1">
        <v>0</v>
      </c>
      <c r="X320" s="1">
        <v>1042.91</v>
      </c>
      <c r="Y320" s="1">
        <v>0</v>
      </c>
      <c r="Z320" s="1">
        <v>1042.91</v>
      </c>
      <c r="AA320" s="33">
        <v>0</v>
      </c>
      <c r="AB320" s="33">
        <v>1042.91</v>
      </c>
      <c r="AC320" s="33">
        <v>0</v>
      </c>
      <c r="AD320" s="33">
        <v>1042.91</v>
      </c>
      <c r="AE320" s="33">
        <v>0</v>
      </c>
      <c r="AF320" s="33">
        <v>1042.91</v>
      </c>
      <c r="AG320" s="1">
        <v>0</v>
      </c>
      <c r="AH320" s="1">
        <v>1678.57</v>
      </c>
      <c r="AI320" s="1">
        <v>0</v>
      </c>
      <c r="AJ320" s="1">
        <v>1042.91</v>
      </c>
      <c r="AK320" s="1">
        <v>0</v>
      </c>
      <c r="AL320" s="1">
        <v>1042.91</v>
      </c>
      <c r="AM320" s="9">
        <f t="shared" si="73"/>
        <v>0</v>
      </c>
      <c r="AN320" s="9">
        <f t="shared" si="73"/>
        <v>13730.58</v>
      </c>
      <c r="AO320" s="248">
        <f>AM320+AN320</f>
        <v>13730.58</v>
      </c>
      <c r="AP320" s="10"/>
      <c r="AQ320" s="10"/>
      <c r="AR320" s="10"/>
      <c r="AS320" s="10"/>
      <c r="AT320" s="163">
        <f t="shared" si="70"/>
        <v>13730.58</v>
      </c>
      <c r="AU320" s="2"/>
      <c r="AV320" s="2"/>
      <c r="AW320" s="168"/>
      <c r="AX320" s="21">
        <f t="shared" si="65"/>
        <v>23716.644</v>
      </c>
      <c r="AY320" s="26">
        <f>439995.13+52796.41</f>
        <v>492791.54000000004</v>
      </c>
    </row>
    <row r="321" spans="1:51" ht="15">
      <c r="A321" s="1"/>
      <c r="B321" s="44" t="s">
        <v>330</v>
      </c>
      <c r="C321" s="13">
        <f>SUM(C9:C320)</f>
        <v>482052.33999999985</v>
      </c>
      <c r="D321" s="13">
        <f>SUM(D9:D320)</f>
        <v>26004.259999999995</v>
      </c>
      <c r="E321" s="13">
        <f>SUM(E9:E320)</f>
        <v>508056.5999999999</v>
      </c>
      <c r="F321" s="195"/>
      <c r="G321" s="196">
        <f>SUM(G9:G320)</f>
        <v>6989621.319799995</v>
      </c>
      <c r="H321" s="196">
        <f>SUM(H9:H320)</f>
        <v>41920737.43480003</v>
      </c>
      <c r="I321" s="195"/>
      <c r="J321" s="196">
        <f>SUM(J9:J320)</f>
        <v>6986152.382799995</v>
      </c>
      <c r="K321" s="196">
        <f>SUM(K9:K320)</f>
        <v>41743498.76580002</v>
      </c>
      <c r="L321" s="196">
        <f>SUM(L9:L320)</f>
        <v>83664236.20060004</v>
      </c>
      <c r="M321" s="144">
        <f>SUM(M9:M320)</f>
        <v>-20392721.429999996</v>
      </c>
      <c r="N321" s="144">
        <f>SUM(N9:N320)</f>
        <v>63271514.77060003</v>
      </c>
      <c r="O321" s="144">
        <f aca="true" t="shared" si="74" ref="O321:T321">SUM(O9:O320)</f>
        <v>1905020.2800000003</v>
      </c>
      <c r="P321" s="144">
        <f>SUM(P9:P320)</f>
        <v>4246644.009999998</v>
      </c>
      <c r="Q321" s="144">
        <f t="shared" si="74"/>
        <v>2199520.029999999</v>
      </c>
      <c r="R321" s="144">
        <f t="shared" si="74"/>
        <v>4026665.17</v>
      </c>
      <c r="S321" s="144">
        <f t="shared" si="74"/>
        <v>3442715.05</v>
      </c>
      <c r="T321" s="144">
        <f t="shared" si="74"/>
        <v>4718829.779999994</v>
      </c>
      <c r="U321" s="144">
        <f aca="true" t="shared" si="75" ref="U321:AY321">SUM(U9:U320)</f>
        <v>1326183.8100000003</v>
      </c>
      <c r="V321" s="144">
        <f t="shared" si="75"/>
        <v>4186723.4899999993</v>
      </c>
      <c r="W321" s="144">
        <f t="shared" si="75"/>
        <v>1825350.480000001</v>
      </c>
      <c r="X321" s="144">
        <f t="shared" si="75"/>
        <v>3725785.3400000026</v>
      </c>
      <c r="Y321" s="144">
        <f t="shared" si="75"/>
        <v>2581688.17</v>
      </c>
      <c r="Z321" s="144">
        <f aca="true" t="shared" si="76" ref="Z321:AF321">SUM(Z9:Z320)</f>
        <v>4753114.949999997</v>
      </c>
      <c r="AA321" s="144">
        <f t="shared" si="76"/>
        <v>2427442.6599999988</v>
      </c>
      <c r="AB321" s="144">
        <f t="shared" si="76"/>
        <v>5298131.839999999</v>
      </c>
      <c r="AC321" s="144">
        <f t="shared" si="76"/>
        <v>2981128.2399999993</v>
      </c>
      <c r="AD321" s="144">
        <f t="shared" si="76"/>
        <v>5469063.529999998</v>
      </c>
      <c r="AE321" s="144">
        <f t="shared" si="76"/>
        <v>2384117.8499999996</v>
      </c>
      <c r="AF321" s="144">
        <f t="shared" si="76"/>
        <v>4417048.95</v>
      </c>
      <c r="AG321" s="144">
        <f aca="true" t="shared" si="77" ref="AG321:AL321">SUM(AG9:AG320)</f>
        <v>1277669.529999999</v>
      </c>
      <c r="AH321" s="144">
        <f t="shared" si="77"/>
        <v>3937199.160000001</v>
      </c>
      <c r="AI321" s="144">
        <f t="shared" si="77"/>
        <v>1201693.4800000002</v>
      </c>
      <c r="AJ321" s="144">
        <f t="shared" si="77"/>
        <v>3581656.7500000014</v>
      </c>
      <c r="AK321" s="144">
        <f t="shared" si="77"/>
        <v>1629552.0599999994</v>
      </c>
      <c r="AL321" s="144">
        <f t="shared" si="77"/>
        <v>3710825.5100000007</v>
      </c>
      <c r="AM321" s="144">
        <f t="shared" si="75"/>
        <v>25182081.639999997</v>
      </c>
      <c r="AN321" s="144">
        <f t="shared" si="75"/>
        <v>52071688.47999996</v>
      </c>
      <c r="AO321" s="249">
        <f t="shared" si="75"/>
        <v>77253770.12000002</v>
      </c>
      <c r="AP321" s="144">
        <f t="shared" si="75"/>
        <v>54616</v>
      </c>
      <c r="AQ321" s="144">
        <f t="shared" si="75"/>
        <v>11873565.42</v>
      </c>
      <c r="AR321" s="144">
        <f t="shared" si="75"/>
        <v>26902.08</v>
      </c>
      <c r="AS321" s="166">
        <f t="shared" si="75"/>
        <v>14000</v>
      </c>
      <c r="AT321" s="167">
        <f t="shared" si="75"/>
        <v>89222853.62000003</v>
      </c>
      <c r="AU321" s="144">
        <f t="shared" si="75"/>
        <v>147939.4</v>
      </c>
      <c r="AV321" s="144">
        <f t="shared" si="75"/>
        <v>62262.921599999994</v>
      </c>
      <c r="AW321" s="221">
        <f>SUM(AW9:AW320)</f>
        <v>642482</v>
      </c>
      <c r="AX321" s="144">
        <f t="shared" si="75"/>
        <v>-25098654.52780002</v>
      </c>
      <c r="AY321" s="144">
        <f t="shared" si="75"/>
        <v>65522902.04000001</v>
      </c>
    </row>
  </sheetData>
  <autoFilter ref="A1:AY321"/>
  <mergeCells count="37">
    <mergeCell ref="AU6:AW6"/>
    <mergeCell ref="S2:T5"/>
    <mergeCell ref="F8:G8"/>
    <mergeCell ref="I8:J8"/>
    <mergeCell ref="K5:K6"/>
    <mergeCell ref="Q6:R6"/>
    <mergeCell ref="Q2:R5"/>
    <mergeCell ref="S6:T6"/>
    <mergeCell ref="AC2:AD5"/>
    <mergeCell ref="AM2:AN5"/>
    <mergeCell ref="AA2:AB5"/>
    <mergeCell ref="AG2:AH5"/>
    <mergeCell ref="AK2:AL5"/>
    <mergeCell ref="AI2:AJ5"/>
    <mergeCell ref="Y2:Z5"/>
    <mergeCell ref="C5:E6"/>
    <mergeCell ref="F5:G5"/>
    <mergeCell ref="H5:H6"/>
    <mergeCell ref="I5:J5"/>
    <mergeCell ref="O6:P6"/>
    <mergeCell ref="O2:P5"/>
    <mergeCell ref="W2:X5"/>
    <mergeCell ref="U2:V5"/>
    <mergeCell ref="U6:V6"/>
    <mergeCell ref="AA6:AB6"/>
    <mergeCell ref="Y6:Z6"/>
    <mergeCell ref="AC6:AD6"/>
    <mergeCell ref="W6:X6"/>
    <mergeCell ref="AM6:AN6"/>
    <mergeCell ref="AO2:AQ2"/>
    <mergeCell ref="AO5:AQ5"/>
    <mergeCell ref="AE6:AF6"/>
    <mergeCell ref="AO6:AT6"/>
    <mergeCell ref="AK6:AL6"/>
    <mergeCell ref="AG6:AH6"/>
    <mergeCell ref="AI6:AJ6"/>
    <mergeCell ref="AE2:AF5"/>
  </mergeCells>
  <printOptions/>
  <pageMargins left="0.23" right="0.22" top="0.3" bottom="0.26" header="0.19" footer="0.17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2023-01-12T04:06:06Z</cp:lastPrinted>
  <dcterms:created xsi:type="dcterms:W3CDTF">1996-10-08T23:32:33Z</dcterms:created>
  <dcterms:modified xsi:type="dcterms:W3CDTF">2023-02-27T10:33:01Z</dcterms:modified>
  <cp:category/>
  <cp:version/>
  <cp:contentType/>
  <cp:contentStatus/>
</cp:coreProperties>
</file>